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11760" tabRatio="597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Q60" i="1" l="1"/>
  <c r="P60" i="1"/>
  <c r="N88" i="1"/>
  <c r="N303" i="1"/>
  <c r="N307" i="1" s="1"/>
  <c r="J304" i="1"/>
  <c r="I304" i="1"/>
  <c r="F304" i="1"/>
  <c r="G304" i="1"/>
  <c r="F306" i="1"/>
  <c r="F305" i="1"/>
  <c r="G306" i="1"/>
  <c r="G305" i="1"/>
  <c r="R243" i="1" l="1"/>
  <c r="S243" i="1"/>
  <c r="T243" i="1"/>
  <c r="Q243" i="1"/>
  <c r="S246" i="1"/>
  <c r="M178" i="1"/>
  <c r="N178" i="1"/>
  <c r="O178" i="1"/>
  <c r="L133" i="1"/>
  <c r="S81" i="1"/>
  <c r="S82" i="1"/>
  <c r="G299" i="1"/>
  <c r="Q20" i="1"/>
  <c r="Q41" i="1"/>
  <c r="R81" i="1"/>
  <c r="R86" i="1"/>
  <c r="R94" i="1"/>
  <c r="S99" i="1"/>
  <c r="R96" i="1"/>
  <c r="S96" i="1" s="1"/>
  <c r="Q96" i="1"/>
  <c r="L178" i="1"/>
  <c r="Q211" i="1"/>
  <c r="P211" i="1"/>
  <c r="K266" i="1"/>
  <c r="K267" i="1"/>
  <c r="K269" i="1"/>
  <c r="K264" i="1"/>
  <c r="K260" i="1"/>
  <c r="K261" i="1"/>
  <c r="S183" i="1"/>
  <c r="S167" i="1"/>
  <c r="J309" i="1"/>
  <c r="I309" i="1"/>
  <c r="J215" i="1"/>
  <c r="J212" i="1"/>
  <c r="J208" i="1"/>
  <c r="I208" i="1"/>
  <c r="J206" i="1"/>
  <c r="I206" i="1"/>
  <c r="J204" i="1"/>
  <c r="I204" i="1"/>
  <c r="I158" i="1"/>
  <c r="J162" i="1"/>
  <c r="J161" i="1"/>
  <c r="J158" i="1"/>
  <c r="J157" i="1"/>
  <c r="J156" i="1"/>
  <c r="I162" i="1"/>
  <c r="I161" i="1"/>
  <c r="I157" i="1"/>
  <c r="I156" i="1"/>
  <c r="J275" i="1"/>
  <c r="I275" i="1"/>
  <c r="F269" i="1"/>
  <c r="H269" i="1" s="1"/>
  <c r="G269" i="1"/>
  <c r="G267" i="1"/>
  <c r="H267" i="1" s="1"/>
  <c r="I263" i="1"/>
  <c r="F267" i="1"/>
  <c r="J247" i="1"/>
  <c r="K249" i="1"/>
  <c r="G249" i="1"/>
  <c r="F249" i="1"/>
  <c r="K248" i="1"/>
  <c r="G248" i="1"/>
  <c r="F248" i="1"/>
  <c r="G128" i="1"/>
  <c r="F282" i="1"/>
  <c r="F280" i="1"/>
  <c r="F281" i="1"/>
  <c r="G282" i="1"/>
  <c r="J244" i="1"/>
  <c r="I244" i="1"/>
  <c r="I243" i="1" s="1"/>
  <c r="J272" i="1"/>
  <c r="I272" i="1"/>
  <c r="J177" i="1"/>
  <c r="I177" i="1"/>
  <c r="J159" i="1"/>
  <c r="I159" i="1"/>
  <c r="J153" i="1"/>
  <c r="J151" i="1"/>
  <c r="J149" i="1"/>
  <c r="J148" i="1"/>
  <c r="J147" i="1"/>
  <c r="I153" i="1"/>
  <c r="I151" i="1"/>
  <c r="I149" i="1"/>
  <c r="I148" i="1"/>
  <c r="I147" i="1"/>
  <c r="J143" i="1"/>
  <c r="G143" i="1" s="1"/>
  <c r="G145" i="1"/>
  <c r="F145" i="1"/>
  <c r="G144" i="1"/>
  <c r="F144" i="1"/>
  <c r="R143" i="1"/>
  <c r="Q143" i="1"/>
  <c r="P143" i="1"/>
  <c r="O143" i="1"/>
  <c r="N143" i="1"/>
  <c r="M143" i="1"/>
  <c r="L143" i="1"/>
  <c r="I143" i="1"/>
  <c r="F143" i="1" s="1"/>
  <c r="J92" i="1"/>
  <c r="J89" i="1"/>
  <c r="F64" i="1"/>
  <c r="G64" i="1"/>
  <c r="J106" i="1"/>
  <c r="J105" i="1"/>
  <c r="I105" i="1"/>
  <c r="G82" i="1"/>
  <c r="F82" i="1"/>
  <c r="J118" i="1"/>
  <c r="I118" i="1"/>
  <c r="G121" i="1"/>
  <c r="K121" i="1"/>
  <c r="F121" i="1"/>
  <c r="I104" i="1"/>
  <c r="I108" i="1"/>
  <c r="I103" i="1" s="1"/>
  <c r="I89" i="1"/>
  <c r="J81" i="1"/>
  <c r="I81" i="1"/>
  <c r="F70" i="1"/>
  <c r="G70" i="1"/>
  <c r="H70" i="1" s="1"/>
  <c r="J67" i="1"/>
  <c r="J60" i="1"/>
  <c r="I60" i="1"/>
  <c r="I32" i="1"/>
  <c r="I20" i="1"/>
  <c r="J263" i="1"/>
  <c r="J252" i="1"/>
  <c r="I252" i="1"/>
  <c r="K254" i="1"/>
  <c r="F253" i="1"/>
  <c r="G253" i="1"/>
  <c r="F254" i="1"/>
  <c r="G254" i="1"/>
  <c r="H254" i="1" s="1"/>
  <c r="G256" i="1"/>
  <c r="J243" i="1"/>
  <c r="F245" i="1"/>
  <c r="G245" i="1"/>
  <c r="K245" i="1"/>
  <c r="F246" i="1"/>
  <c r="G246" i="1"/>
  <c r="K239" i="1"/>
  <c r="F217" i="1"/>
  <c r="G217" i="1"/>
  <c r="F218" i="1"/>
  <c r="G218" i="1"/>
  <c r="J211" i="1"/>
  <c r="J189" i="1"/>
  <c r="I189" i="1"/>
  <c r="S190" i="1"/>
  <c r="G190" i="1"/>
  <c r="F190" i="1"/>
  <c r="X189" i="1"/>
  <c r="W189" i="1"/>
  <c r="V189" i="1"/>
  <c r="U189" i="1"/>
  <c r="T189" i="1"/>
  <c r="R189" i="1"/>
  <c r="Q189" i="1"/>
  <c r="P189" i="1"/>
  <c r="O189" i="1"/>
  <c r="N189" i="1"/>
  <c r="M189" i="1"/>
  <c r="L189" i="1"/>
  <c r="G182" i="1"/>
  <c r="K182" i="1"/>
  <c r="F182" i="1"/>
  <c r="K142" i="1"/>
  <c r="G142" i="1"/>
  <c r="F142" i="1"/>
  <c r="R141" i="1"/>
  <c r="Q141" i="1"/>
  <c r="P141" i="1"/>
  <c r="O141" i="1"/>
  <c r="N141" i="1"/>
  <c r="M141" i="1"/>
  <c r="L141" i="1"/>
  <c r="J141" i="1"/>
  <c r="I141" i="1"/>
  <c r="J133" i="1"/>
  <c r="I133" i="1"/>
  <c r="K136" i="1"/>
  <c r="G136" i="1"/>
  <c r="F136" i="1"/>
  <c r="K135" i="1"/>
  <c r="G135" i="1"/>
  <c r="F135" i="1"/>
  <c r="J125" i="1"/>
  <c r="I125" i="1"/>
  <c r="K132" i="1"/>
  <c r="G132" i="1"/>
  <c r="F132" i="1"/>
  <c r="J96" i="1"/>
  <c r="I96" i="1"/>
  <c r="F98" i="1"/>
  <c r="G98" i="1"/>
  <c r="F99" i="1"/>
  <c r="G99" i="1"/>
  <c r="K95" i="1"/>
  <c r="G95" i="1"/>
  <c r="F95" i="1"/>
  <c r="Q94" i="1"/>
  <c r="P94" i="1"/>
  <c r="O94" i="1"/>
  <c r="N94" i="1"/>
  <c r="J94" i="1"/>
  <c r="I94" i="1"/>
  <c r="O86" i="1"/>
  <c r="P86" i="1"/>
  <c r="Q86" i="1"/>
  <c r="N86" i="1"/>
  <c r="J84" i="1"/>
  <c r="J83" i="1" s="1"/>
  <c r="J86" i="1"/>
  <c r="I84" i="1"/>
  <c r="I86" i="1"/>
  <c r="I83" i="1" s="1"/>
  <c r="K87" i="1"/>
  <c r="G87" i="1"/>
  <c r="F87" i="1"/>
  <c r="K85" i="1"/>
  <c r="G85" i="1"/>
  <c r="F85" i="1"/>
  <c r="X84" i="1"/>
  <c r="W84" i="1"/>
  <c r="V84" i="1"/>
  <c r="U84" i="1"/>
  <c r="T84" i="1"/>
  <c r="R84" i="1"/>
  <c r="Q84" i="1"/>
  <c r="Q83" i="1" s="1"/>
  <c r="P84" i="1"/>
  <c r="P83" i="1" s="1"/>
  <c r="O84" i="1"/>
  <c r="O83" i="1" s="1"/>
  <c r="N84" i="1"/>
  <c r="N83" i="1" s="1"/>
  <c r="M84" i="1"/>
  <c r="L84" i="1"/>
  <c r="K84" i="1"/>
  <c r="N81" i="1"/>
  <c r="Q81" i="1"/>
  <c r="I46" i="1"/>
  <c r="F53" i="1"/>
  <c r="I88" i="1" l="1"/>
  <c r="H64" i="1"/>
  <c r="J88" i="1"/>
  <c r="H121" i="1"/>
  <c r="H82" i="1"/>
  <c r="G189" i="1"/>
  <c r="K96" i="1"/>
  <c r="K94" i="1"/>
  <c r="F94" i="1"/>
  <c r="H142" i="1"/>
  <c r="S189" i="1"/>
  <c r="F189" i="1"/>
  <c r="H218" i="1"/>
  <c r="H217" i="1"/>
  <c r="H245" i="1"/>
  <c r="H246" i="1"/>
  <c r="F83" i="1"/>
  <c r="H182" i="1"/>
  <c r="H190" i="1"/>
  <c r="H98" i="1"/>
  <c r="H132" i="1"/>
  <c r="H135" i="1"/>
  <c r="F141" i="1"/>
  <c r="K141" i="1"/>
  <c r="G141" i="1"/>
  <c r="H141" i="1" s="1"/>
  <c r="H136" i="1"/>
  <c r="H95" i="1"/>
  <c r="H99" i="1"/>
  <c r="F84" i="1"/>
  <c r="H85" i="1"/>
  <c r="H87" i="1"/>
  <c r="G84" i="1"/>
  <c r="K42" i="1"/>
  <c r="K39" i="1"/>
  <c r="K38" i="1"/>
  <c r="I41" i="1"/>
  <c r="F44" i="1"/>
  <c r="G44" i="1"/>
  <c r="G15" i="1"/>
  <c r="H189" i="1" l="1"/>
  <c r="H44" i="1"/>
  <c r="H84" i="1"/>
  <c r="M235" i="1"/>
  <c r="N235" i="1"/>
  <c r="O235" i="1"/>
  <c r="P235" i="1"/>
  <c r="Q235" i="1"/>
  <c r="R235" i="1"/>
  <c r="L235" i="1"/>
  <c r="J235" i="1"/>
  <c r="I235" i="1"/>
  <c r="F235" i="1" s="1"/>
  <c r="G297" i="1"/>
  <c r="G298" i="1"/>
  <c r="F297" i="1"/>
  <c r="K283" i="1"/>
  <c r="K289" i="1"/>
  <c r="G288" i="1"/>
  <c r="G289" i="1"/>
  <c r="F288" i="1"/>
  <c r="F289" i="1"/>
  <c r="H289" i="1" s="1"/>
  <c r="G283" i="1"/>
  <c r="F283" i="1"/>
  <c r="G290" i="1"/>
  <c r="F290" i="1"/>
  <c r="K287" i="1"/>
  <c r="G287" i="1"/>
  <c r="F287" i="1"/>
  <c r="K286" i="1"/>
  <c r="G286" i="1"/>
  <c r="F286" i="1"/>
  <c r="X285" i="1"/>
  <c r="W285" i="1"/>
  <c r="V285" i="1"/>
  <c r="U285" i="1"/>
  <c r="T285" i="1"/>
  <c r="R285" i="1"/>
  <c r="Q285" i="1"/>
  <c r="P285" i="1"/>
  <c r="O285" i="1"/>
  <c r="N285" i="1"/>
  <c r="M285" i="1"/>
  <c r="L285" i="1"/>
  <c r="J285" i="1"/>
  <c r="I285" i="1"/>
  <c r="K284" i="1"/>
  <c r="G284" i="1"/>
  <c r="F284" i="1"/>
  <c r="K281" i="1"/>
  <c r="G281" i="1"/>
  <c r="K280" i="1"/>
  <c r="G280" i="1"/>
  <c r="G279" i="1"/>
  <c r="F279" i="1"/>
  <c r="X278" i="1"/>
  <c r="W278" i="1"/>
  <c r="V278" i="1"/>
  <c r="U278" i="1"/>
  <c r="T278" i="1"/>
  <c r="R278" i="1"/>
  <c r="Q278" i="1"/>
  <c r="P278" i="1"/>
  <c r="O278" i="1"/>
  <c r="N278" i="1"/>
  <c r="M278" i="1"/>
  <c r="L278" i="1"/>
  <c r="J278" i="1"/>
  <c r="I278" i="1"/>
  <c r="K265" i="1"/>
  <c r="G265" i="1"/>
  <c r="F265" i="1"/>
  <c r="G255" i="1"/>
  <c r="F255" i="1"/>
  <c r="K236" i="1"/>
  <c r="G236" i="1"/>
  <c r="F236" i="1"/>
  <c r="G205" i="1"/>
  <c r="F205" i="1"/>
  <c r="G166" i="1"/>
  <c r="G167" i="1"/>
  <c r="F166" i="1"/>
  <c r="F167" i="1"/>
  <c r="H167" i="1" s="1"/>
  <c r="K157" i="1"/>
  <c r="K158" i="1"/>
  <c r="K159" i="1"/>
  <c r="G157" i="1"/>
  <c r="G158" i="1"/>
  <c r="G159" i="1"/>
  <c r="F157" i="1"/>
  <c r="F158" i="1"/>
  <c r="F159" i="1"/>
  <c r="K152" i="1"/>
  <c r="G152" i="1"/>
  <c r="F152" i="1"/>
  <c r="K148" i="1"/>
  <c r="G148" i="1"/>
  <c r="F148" i="1"/>
  <c r="F149" i="1"/>
  <c r="K127" i="1"/>
  <c r="K128" i="1"/>
  <c r="K126" i="1"/>
  <c r="F128" i="1"/>
  <c r="H128" i="1" s="1"/>
  <c r="G127" i="1"/>
  <c r="H127" i="1" s="1"/>
  <c r="F127" i="1"/>
  <c r="M96" i="1"/>
  <c r="M94" i="1" s="1"/>
  <c r="N96" i="1"/>
  <c r="O96" i="1"/>
  <c r="P96" i="1"/>
  <c r="F96" i="1"/>
  <c r="G94" i="1"/>
  <c r="H94" i="1" s="1"/>
  <c r="L96" i="1"/>
  <c r="L94" i="1" s="1"/>
  <c r="K98" i="1"/>
  <c r="K97" i="1"/>
  <c r="K69" i="1"/>
  <c r="G55" i="1"/>
  <c r="F55" i="1"/>
  <c r="G48" i="1"/>
  <c r="F48" i="1"/>
  <c r="G43" i="1"/>
  <c r="F43" i="1"/>
  <c r="G42" i="1"/>
  <c r="F42" i="1"/>
  <c r="X41" i="1"/>
  <c r="X40" i="1" s="1"/>
  <c r="W41" i="1"/>
  <c r="W40" i="1" s="1"/>
  <c r="V41" i="1"/>
  <c r="V40" i="1" s="1"/>
  <c r="U41" i="1"/>
  <c r="U40" i="1" s="1"/>
  <c r="T41" i="1"/>
  <c r="T40" i="1" s="1"/>
  <c r="R41" i="1"/>
  <c r="R40" i="1" s="1"/>
  <c r="Q40" i="1"/>
  <c r="S40" i="1" s="1"/>
  <c r="P41" i="1"/>
  <c r="P40" i="1" s="1"/>
  <c r="O41" i="1"/>
  <c r="O40" i="1" s="1"/>
  <c r="N41" i="1"/>
  <c r="N40" i="1" s="1"/>
  <c r="M41" i="1"/>
  <c r="M40" i="1" s="1"/>
  <c r="L41" i="1"/>
  <c r="L40" i="1" s="1"/>
  <c r="J41" i="1"/>
  <c r="J40" i="1" s="1"/>
  <c r="S29" i="1"/>
  <c r="S30" i="1"/>
  <c r="G29" i="1"/>
  <c r="G30" i="1"/>
  <c r="F29" i="1"/>
  <c r="F30" i="1"/>
  <c r="H30" i="1" s="1"/>
  <c r="K10" i="1"/>
  <c r="G10" i="1"/>
  <c r="F10" i="1"/>
  <c r="X9" i="1"/>
  <c r="W9" i="1"/>
  <c r="V9" i="1"/>
  <c r="U9" i="1"/>
  <c r="T9" i="1"/>
  <c r="R9" i="1"/>
  <c r="Q9" i="1"/>
  <c r="P9" i="1"/>
  <c r="O9" i="1"/>
  <c r="N9" i="1"/>
  <c r="M9" i="1"/>
  <c r="L9" i="1"/>
  <c r="J9" i="1"/>
  <c r="I9" i="1"/>
  <c r="H297" i="1" l="1"/>
  <c r="H166" i="1"/>
  <c r="I277" i="1"/>
  <c r="L277" i="1"/>
  <c r="N277" i="1"/>
  <c r="P277" i="1"/>
  <c r="U277" i="1"/>
  <c r="W277" i="1"/>
  <c r="G285" i="1"/>
  <c r="T277" i="1"/>
  <c r="M277" i="1"/>
  <c r="O277" i="1"/>
  <c r="Q277" i="1"/>
  <c r="V277" i="1"/>
  <c r="X277" i="1"/>
  <c r="J277" i="1"/>
  <c r="G278" i="1"/>
  <c r="R277" i="1"/>
  <c r="K285" i="1"/>
  <c r="H283" i="1"/>
  <c r="H281" i="1"/>
  <c r="H286" i="1"/>
  <c r="H287" i="1"/>
  <c r="K278" i="1"/>
  <c r="H280" i="1"/>
  <c r="H284" i="1"/>
  <c r="F278" i="1"/>
  <c r="F285" i="1"/>
  <c r="H285" i="1" s="1"/>
  <c r="H255" i="1"/>
  <c r="H265" i="1"/>
  <c r="K41" i="1"/>
  <c r="H236" i="1"/>
  <c r="H158" i="1"/>
  <c r="H152" i="1"/>
  <c r="H159" i="1"/>
  <c r="H157" i="1"/>
  <c r="H148" i="1"/>
  <c r="G41" i="1"/>
  <c r="G40" i="1" s="1"/>
  <c r="H55" i="1"/>
  <c r="H10" i="1"/>
  <c r="H42" i="1"/>
  <c r="I40" i="1"/>
  <c r="K40" i="1" s="1"/>
  <c r="H43" i="1"/>
  <c r="F41" i="1"/>
  <c r="H29" i="1"/>
  <c r="F9" i="1"/>
  <c r="K9" i="1"/>
  <c r="G9" i="1"/>
  <c r="S299" i="1"/>
  <c r="H278" i="1" l="1"/>
  <c r="H41" i="1"/>
  <c r="F40" i="1"/>
  <c r="H40" i="1" s="1"/>
  <c r="H9" i="1"/>
  <c r="K240" i="1" l="1"/>
  <c r="K232" i="1"/>
  <c r="S100" i="1"/>
  <c r="K222" i="1"/>
  <c r="K223" i="1"/>
  <c r="K224" i="1"/>
  <c r="K225" i="1"/>
  <c r="S210" i="1"/>
  <c r="K180" i="1"/>
  <c r="K181" i="1"/>
  <c r="G160" i="1"/>
  <c r="F160" i="1"/>
  <c r="F150" i="1"/>
  <c r="G150" i="1"/>
  <c r="K150" i="1"/>
  <c r="U65" i="1"/>
  <c r="V65" i="1"/>
  <c r="W65" i="1"/>
  <c r="X65" i="1"/>
  <c r="T65" i="1"/>
  <c r="K34" i="1"/>
  <c r="K35" i="1"/>
  <c r="K37" i="1"/>
  <c r="S27" i="1"/>
  <c r="H160" i="1" l="1"/>
  <c r="H150" i="1"/>
  <c r="T178" i="1"/>
  <c r="N58" i="1"/>
  <c r="K296" i="1"/>
  <c r="G232" i="1"/>
  <c r="G233" i="1"/>
  <c r="F232" i="1"/>
  <c r="F233" i="1"/>
  <c r="F234" i="1"/>
  <c r="K196" i="1"/>
  <c r="K197" i="1"/>
  <c r="K200" i="1"/>
  <c r="G197" i="1"/>
  <c r="G198" i="1"/>
  <c r="G199" i="1"/>
  <c r="G200" i="1"/>
  <c r="F197" i="1"/>
  <c r="F198" i="1"/>
  <c r="F199" i="1"/>
  <c r="G34" i="1"/>
  <c r="G35" i="1"/>
  <c r="G36" i="1"/>
  <c r="F34" i="1"/>
  <c r="F35" i="1"/>
  <c r="G295" i="1"/>
  <c r="G296" i="1"/>
  <c r="F295" i="1"/>
  <c r="F296" i="1"/>
  <c r="F298" i="1"/>
  <c r="F299" i="1"/>
  <c r="G225" i="1"/>
  <c r="F225" i="1"/>
  <c r="G224" i="1"/>
  <c r="F224" i="1"/>
  <c r="G223" i="1"/>
  <c r="F223" i="1"/>
  <c r="G209" i="1"/>
  <c r="K209" i="1"/>
  <c r="F209" i="1"/>
  <c r="G183" i="1"/>
  <c r="G184" i="1"/>
  <c r="F183" i="1"/>
  <c r="F184" i="1"/>
  <c r="R178" i="1"/>
  <c r="Q178" i="1"/>
  <c r="G181" i="1"/>
  <c r="F181" i="1"/>
  <c r="G180" i="1"/>
  <c r="F180" i="1"/>
  <c r="J178" i="1"/>
  <c r="I178" i="1"/>
  <c r="F178" i="1" s="1"/>
  <c r="K177" i="1"/>
  <c r="G177" i="1"/>
  <c r="F177" i="1"/>
  <c r="X176" i="1"/>
  <c r="W176" i="1"/>
  <c r="V176" i="1"/>
  <c r="U176" i="1"/>
  <c r="T176" i="1"/>
  <c r="R176" i="1"/>
  <c r="Q176" i="1"/>
  <c r="P176" i="1"/>
  <c r="O176" i="1"/>
  <c r="N176" i="1"/>
  <c r="M176" i="1"/>
  <c r="L176" i="1"/>
  <c r="J176" i="1"/>
  <c r="I176" i="1"/>
  <c r="K175" i="1"/>
  <c r="G175" i="1"/>
  <c r="F175" i="1"/>
  <c r="X174" i="1"/>
  <c r="W174" i="1"/>
  <c r="V174" i="1"/>
  <c r="U174" i="1"/>
  <c r="T174" i="1"/>
  <c r="R174" i="1"/>
  <c r="Q174" i="1"/>
  <c r="P174" i="1"/>
  <c r="O174" i="1"/>
  <c r="N174" i="1"/>
  <c r="M174" i="1"/>
  <c r="L174" i="1"/>
  <c r="J174" i="1"/>
  <c r="I174" i="1"/>
  <c r="G164" i="1"/>
  <c r="K164" i="1"/>
  <c r="F164" i="1"/>
  <c r="G154" i="1"/>
  <c r="K154" i="1"/>
  <c r="F154" i="1"/>
  <c r="F131" i="1"/>
  <c r="G131" i="1"/>
  <c r="K131" i="1"/>
  <c r="K102" i="1"/>
  <c r="G102" i="1"/>
  <c r="F102" i="1"/>
  <c r="X101" i="1"/>
  <c r="X100" i="1" s="1"/>
  <c r="W101" i="1"/>
  <c r="W100" i="1" s="1"/>
  <c r="V101" i="1"/>
  <c r="V100" i="1" s="1"/>
  <c r="U101" i="1"/>
  <c r="U100" i="1" s="1"/>
  <c r="T101" i="1"/>
  <c r="T100" i="1" s="1"/>
  <c r="R101" i="1"/>
  <c r="R100" i="1" s="1"/>
  <c r="Q101" i="1"/>
  <c r="Q100" i="1" s="1"/>
  <c r="P101" i="1"/>
  <c r="P100" i="1" s="1"/>
  <c r="O101" i="1"/>
  <c r="O100" i="1" s="1"/>
  <c r="N101" i="1"/>
  <c r="N100" i="1" s="1"/>
  <c r="M101" i="1"/>
  <c r="M100" i="1" s="1"/>
  <c r="L101" i="1"/>
  <c r="L100" i="1" s="1"/>
  <c r="J101" i="1"/>
  <c r="J100" i="1" s="1"/>
  <c r="I101" i="1"/>
  <c r="K59" i="1"/>
  <c r="G59" i="1"/>
  <c r="F59" i="1"/>
  <c r="J58" i="1"/>
  <c r="I58" i="1"/>
  <c r="F58" i="1" s="1"/>
  <c r="G27" i="1"/>
  <c r="F27" i="1"/>
  <c r="G25" i="1"/>
  <c r="K25" i="1"/>
  <c r="F25" i="1"/>
  <c r="F22" i="1"/>
  <c r="F23" i="1"/>
  <c r="F24" i="1"/>
  <c r="F26" i="1"/>
  <c r="G24" i="1"/>
  <c r="H24" i="1" s="1"/>
  <c r="G23" i="1"/>
  <c r="K23" i="1"/>
  <c r="K22" i="1"/>
  <c r="G21" i="1"/>
  <c r="F21" i="1"/>
  <c r="J14" i="1"/>
  <c r="I14" i="1"/>
  <c r="F12" i="1"/>
  <c r="G18" i="1"/>
  <c r="H183" i="1" l="1"/>
  <c r="H164" i="1"/>
  <c r="H21" i="1"/>
  <c r="F101" i="1"/>
  <c r="G174" i="1"/>
  <c r="F176" i="1"/>
  <c r="K178" i="1"/>
  <c r="S178" i="1"/>
  <c r="H223" i="1"/>
  <c r="H224" i="1"/>
  <c r="H225" i="1"/>
  <c r="H27" i="1"/>
  <c r="H34" i="1"/>
  <c r="H197" i="1"/>
  <c r="H232" i="1"/>
  <c r="G101" i="1"/>
  <c r="H298" i="1"/>
  <c r="H295" i="1"/>
  <c r="H299" i="1"/>
  <c r="H296" i="1"/>
  <c r="I100" i="1"/>
  <c r="H180" i="1"/>
  <c r="H181" i="1"/>
  <c r="H209" i="1"/>
  <c r="H184" i="1"/>
  <c r="G176" i="1"/>
  <c r="K174" i="1"/>
  <c r="K176" i="1"/>
  <c r="H177" i="1"/>
  <c r="H175" i="1"/>
  <c r="F174" i="1"/>
  <c r="H131" i="1"/>
  <c r="H154" i="1"/>
  <c r="H23" i="1"/>
  <c r="K101" i="1"/>
  <c r="H102" i="1"/>
  <c r="K58" i="1"/>
  <c r="H59" i="1"/>
  <c r="G58" i="1"/>
  <c r="H58" i="1" s="1"/>
  <c r="H25" i="1"/>
  <c r="S36" i="1"/>
  <c r="K295" i="1"/>
  <c r="R294" i="1"/>
  <c r="Q294" i="1"/>
  <c r="S298" i="1"/>
  <c r="J270" i="1"/>
  <c r="I270" i="1"/>
  <c r="R228" i="1"/>
  <c r="M228" i="1"/>
  <c r="N228" i="1"/>
  <c r="O228" i="1"/>
  <c r="P228" i="1"/>
  <c r="L228" i="1"/>
  <c r="K229" i="1"/>
  <c r="J228" i="1"/>
  <c r="I228" i="1"/>
  <c r="Q228" i="1"/>
  <c r="G229" i="1"/>
  <c r="F229" i="1"/>
  <c r="K206" i="1"/>
  <c r="K207" i="1"/>
  <c r="G207" i="1"/>
  <c r="F207" i="1"/>
  <c r="G196" i="1"/>
  <c r="F196" i="1"/>
  <c r="G140" i="1"/>
  <c r="F140" i="1"/>
  <c r="G138" i="1"/>
  <c r="F138" i="1"/>
  <c r="M139" i="1"/>
  <c r="N139" i="1"/>
  <c r="O139" i="1"/>
  <c r="P139" i="1"/>
  <c r="Q139" i="1"/>
  <c r="R139" i="1"/>
  <c r="L139" i="1"/>
  <c r="M137" i="1"/>
  <c r="N137" i="1"/>
  <c r="O137" i="1"/>
  <c r="P137" i="1"/>
  <c r="Q137" i="1"/>
  <c r="R137" i="1"/>
  <c r="L137" i="1"/>
  <c r="K140" i="1"/>
  <c r="J139" i="1"/>
  <c r="G139" i="1" s="1"/>
  <c r="I139" i="1"/>
  <c r="K138" i="1"/>
  <c r="J137" i="1"/>
  <c r="I137" i="1"/>
  <c r="G106" i="1"/>
  <c r="F106" i="1"/>
  <c r="K75" i="1"/>
  <c r="G75" i="1"/>
  <c r="F75" i="1"/>
  <c r="G50" i="1"/>
  <c r="F50" i="1"/>
  <c r="F49" i="1"/>
  <c r="G22" i="1"/>
  <c r="V211" i="1"/>
  <c r="P230" i="1"/>
  <c r="G137" i="1" l="1"/>
  <c r="H174" i="1"/>
  <c r="H101" i="1"/>
  <c r="H176" i="1"/>
  <c r="G228" i="1"/>
  <c r="H22" i="1"/>
  <c r="K139" i="1"/>
  <c r="H229" i="1"/>
  <c r="F139" i="1"/>
  <c r="K137" i="1"/>
  <c r="H139" i="1"/>
  <c r="H207" i="1"/>
  <c r="F228" i="1"/>
  <c r="K228" i="1"/>
  <c r="H228" i="1"/>
  <c r="F137" i="1"/>
  <c r="H196" i="1"/>
  <c r="H140" i="1"/>
  <c r="H138" i="1"/>
  <c r="H75" i="1"/>
  <c r="M292" i="1"/>
  <c r="N292" i="1"/>
  <c r="O292" i="1"/>
  <c r="P292" i="1"/>
  <c r="L292" i="1"/>
  <c r="M65" i="1"/>
  <c r="N65" i="1"/>
  <c r="O65" i="1"/>
  <c r="P65" i="1"/>
  <c r="L65" i="1"/>
  <c r="R65" i="1"/>
  <c r="Q65" i="1"/>
  <c r="J65" i="1"/>
  <c r="J57" i="1" s="1"/>
  <c r="I65" i="1"/>
  <c r="J114" i="1"/>
  <c r="S28" i="1"/>
  <c r="S31" i="1"/>
  <c r="S93" i="1"/>
  <c r="S187" i="1"/>
  <c r="S188" i="1"/>
  <c r="S256" i="1"/>
  <c r="S302" i="1"/>
  <c r="K12" i="1"/>
  <c r="K15" i="1"/>
  <c r="K18" i="1"/>
  <c r="K33" i="1"/>
  <c r="K51" i="1"/>
  <c r="K52" i="1"/>
  <c r="K54" i="1"/>
  <c r="K62" i="1"/>
  <c r="K63" i="1"/>
  <c r="K66" i="1"/>
  <c r="K68" i="1"/>
  <c r="K73" i="1"/>
  <c r="K76" i="1"/>
  <c r="K77" i="1"/>
  <c r="K79" i="1"/>
  <c r="K80" i="1"/>
  <c r="K91" i="1"/>
  <c r="K105" i="1"/>
  <c r="K109" i="1"/>
  <c r="K110" i="1"/>
  <c r="K113" i="1"/>
  <c r="K115" i="1"/>
  <c r="K117" i="1"/>
  <c r="K119" i="1"/>
  <c r="K120" i="1"/>
  <c r="K123" i="1"/>
  <c r="K129" i="1"/>
  <c r="K130" i="1"/>
  <c r="K134" i="1"/>
  <c r="K147" i="1"/>
  <c r="K149" i="1"/>
  <c r="K151" i="1"/>
  <c r="K153" i="1"/>
  <c r="K156" i="1"/>
  <c r="K161" i="1"/>
  <c r="K162" i="1"/>
  <c r="K165" i="1"/>
  <c r="K170" i="1"/>
  <c r="K171" i="1"/>
  <c r="K173" i="1"/>
  <c r="K192" i="1"/>
  <c r="K195" i="1"/>
  <c r="K201" i="1"/>
  <c r="K203" i="1"/>
  <c r="K204" i="1"/>
  <c r="K208" i="1"/>
  <c r="K214" i="1"/>
  <c r="K215" i="1"/>
  <c r="K220" i="1"/>
  <c r="K221" i="1"/>
  <c r="K226" i="1"/>
  <c r="K227" i="1"/>
  <c r="K231" i="1"/>
  <c r="K233" i="1"/>
  <c r="K234" i="1"/>
  <c r="K242" i="1"/>
  <c r="K244" i="1"/>
  <c r="K251" i="1"/>
  <c r="K259" i="1"/>
  <c r="K262" i="1"/>
  <c r="K271" i="1"/>
  <c r="K272" i="1"/>
  <c r="K273" i="1"/>
  <c r="K275" i="1"/>
  <c r="K276" i="1"/>
  <c r="K293" i="1"/>
  <c r="I301" i="1"/>
  <c r="J301" i="1"/>
  <c r="L301" i="1"/>
  <c r="M301" i="1"/>
  <c r="N301" i="1"/>
  <c r="O301" i="1"/>
  <c r="P301" i="1"/>
  <c r="Q301" i="1"/>
  <c r="R301" i="1"/>
  <c r="T301" i="1"/>
  <c r="U301" i="1"/>
  <c r="V301" i="1"/>
  <c r="W301" i="1"/>
  <c r="X301" i="1"/>
  <c r="I294" i="1"/>
  <c r="J294" i="1"/>
  <c r="L294" i="1"/>
  <c r="M294" i="1"/>
  <c r="N294" i="1"/>
  <c r="O294" i="1"/>
  <c r="P294" i="1"/>
  <c r="T294" i="1"/>
  <c r="U294" i="1"/>
  <c r="V294" i="1"/>
  <c r="W294" i="1"/>
  <c r="X294" i="1"/>
  <c r="M252" i="1"/>
  <c r="N252" i="1"/>
  <c r="O252" i="1"/>
  <c r="P252" i="1"/>
  <c r="Q252" i="1"/>
  <c r="R252" i="1"/>
  <c r="T252" i="1"/>
  <c r="U252" i="1"/>
  <c r="V252" i="1"/>
  <c r="W252" i="1"/>
  <c r="X252" i="1"/>
  <c r="L252" i="1"/>
  <c r="J238" i="1"/>
  <c r="L238" i="1"/>
  <c r="M238" i="1"/>
  <c r="N238" i="1"/>
  <c r="O238" i="1"/>
  <c r="P238" i="1"/>
  <c r="Q238" i="1"/>
  <c r="R238" i="1"/>
  <c r="T238" i="1"/>
  <c r="U238" i="1"/>
  <c r="V238" i="1"/>
  <c r="W238" i="1"/>
  <c r="X238" i="1"/>
  <c r="I238" i="1"/>
  <c r="G240" i="1"/>
  <c r="F240" i="1"/>
  <c r="G216" i="1"/>
  <c r="F216" i="1"/>
  <c r="R211" i="1"/>
  <c r="G211" i="1" s="1"/>
  <c r="G206" i="1"/>
  <c r="G165" i="1"/>
  <c r="F165" i="1"/>
  <c r="G134" i="1"/>
  <c r="F134" i="1"/>
  <c r="M133" i="1"/>
  <c r="N133" i="1"/>
  <c r="O133" i="1"/>
  <c r="P133" i="1"/>
  <c r="Q133" i="1"/>
  <c r="R133" i="1"/>
  <c r="T133" i="1"/>
  <c r="U133" i="1"/>
  <c r="V133" i="1"/>
  <c r="W133" i="1"/>
  <c r="X133" i="1"/>
  <c r="L118" i="1"/>
  <c r="M118" i="1"/>
  <c r="N118" i="1"/>
  <c r="O118" i="1"/>
  <c r="P118" i="1"/>
  <c r="Q118" i="1"/>
  <c r="R118" i="1"/>
  <c r="T118" i="1"/>
  <c r="U118" i="1"/>
  <c r="V118" i="1"/>
  <c r="W118" i="1"/>
  <c r="X118" i="1"/>
  <c r="G12" i="1"/>
  <c r="G26" i="1"/>
  <c r="H26" i="1" s="1"/>
  <c r="G28" i="1"/>
  <c r="G31" i="1"/>
  <c r="G33" i="1"/>
  <c r="G37" i="1"/>
  <c r="G38" i="1"/>
  <c r="G39" i="1"/>
  <c r="G47" i="1"/>
  <c r="G49" i="1"/>
  <c r="G51" i="1"/>
  <c r="G52" i="1"/>
  <c r="G54" i="1"/>
  <c r="G56" i="1"/>
  <c r="G61" i="1"/>
  <c r="G62" i="1"/>
  <c r="G63" i="1"/>
  <c r="G66" i="1"/>
  <c r="G68" i="1"/>
  <c r="G69" i="1"/>
  <c r="G73" i="1"/>
  <c r="G76" i="1"/>
  <c r="G77" i="1"/>
  <c r="G79" i="1"/>
  <c r="G80" i="1"/>
  <c r="G90" i="1"/>
  <c r="G91" i="1"/>
  <c r="G92" i="1"/>
  <c r="G93" i="1"/>
  <c r="G97" i="1"/>
  <c r="G105" i="1"/>
  <c r="G107" i="1"/>
  <c r="G109" i="1"/>
  <c r="G110" i="1"/>
  <c r="G113" i="1"/>
  <c r="G115" i="1"/>
  <c r="G117" i="1"/>
  <c r="G119" i="1"/>
  <c r="G120" i="1"/>
  <c r="G123" i="1"/>
  <c r="G126" i="1"/>
  <c r="H126" i="1" s="1"/>
  <c r="G129" i="1"/>
  <c r="G130" i="1"/>
  <c r="G147" i="1"/>
  <c r="G149" i="1"/>
  <c r="H149" i="1" s="1"/>
  <c r="G151" i="1"/>
  <c r="G153" i="1"/>
  <c r="G156" i="1"/>
  <c r="G161" i="1"/>
  <c r="G162" i="1"/>
  <c r="G163" i="1"/>
  <c r="G168" i="1"/>
  <c r="G170" i="1"/>
  <c r="G171" i="1"/>
  <c r="G173" i="1"/>
  <c r="G179" i="1"/>
  <c r="G187" i="1"/>
  <c r="G188" i="1"/>
  <c r="G192" i="1"/>
  <c r="G195" i="1"/>
  <c r="G201" i="1"/>
  <c r="G203" i="1"/>
  <c r="G204" i="1"/>
  <c r="G208" i="1"/>
  <c r="G210" i="1"/>
  <c r="G212" i="1"/>
  <c r="G213" i="1"/>
  <c r="G214" i="1"/>
  <c r="G215" i="1"/>
  <c r="G220" i="1"/>
  <c r="G221" i="1"/>
  <c r="G222" i="1"/>
  <c r="G226" i="1"/>
  <c r="G227" i="1"/>
  <c r="G231" i="1"/>
  <c r="G234" i="1"/>
  <c r="G239" i="1"/>
  <c r="G242" i="1"/>
  <c r="G244" i="1"/>
  <c r="G250" i="1"/>
  <c r="G251" i="1"/>
  <c r="G259" i="1"/>
  <c r="G260" i="1"/>
  <c r="G261" i="1"/>
  <c r="G262" i="1"/>
  <c r="G264" i="1"/>
  <c r="G266" i="1"/>
  <c r="G268" i="1"/>
  <c r="G271" i="1"/>
  <c r="G272" i="1"/>
  <c r="G273" i="1"/>
  <c r="G275" i="1"/>
  <c r="G276" i="1"/>
  <c r="G293" i="1"/>
  <c r="G301" i="1"/>
  <c r="F15" i="1"/>
  <c r="F18" i="1"/>
  <c r="F28" i="1"/>
  <c r="F31" i="1"/>
  <c r="F33" i="1"/>
  <c r="F36" i="1"/>
  <c r="F37" i="1"/>
  <c r="F38" i="1"/>
  <c r="F39" i="1"/>
  <c r="F47" i="1"/>
  <c r="F51" i="1"/>
  <c r="F52" i="1"/>
  <c r="F54" i="1"/>
  <c r="F56" i="1"/>
  <c r="F61" i="1"/>
  <c r="F62" i="1"/>
  <c r="F63" i="1"/>
  <c r="F66" i="1"/>
  <c r="F68" i="1"/>
  <c r="F69" i="1"/>
  <c r="F73" i="1"/>
  <c r="F76" i="1"/>
  <c r="F77" i="1"/>
  <c r="F79" i="1"/>
  <c r="F80" i="1"/>
  <c r="F90" i="1"/>
  <c r="F91" i="1"/>
  <c r="F92" i="1"/>
  <c r="F93" i="1"/>
  <c r="F97" i="1"/>
  <c r="F105" i="1"/>
  <c r="F107" i="1"/>
  <c r="F109" i="1"/>
  <c r="F110" i="1"/>
  <c r="F113" i="1"/>
  <c r="F115" i="1"/>
  <c r="F117" i="1"/>
  <c r="F119" i="1"/>
  <c r="F120" i="1"/>
  <c r="F123" i="1"/>
  <c r="F126" i="1"/>
  <c r="F129" i="1"/>
  <c r="F130" i="1"/>
  <c r="F147" i="1"/>
  <c r="F151" i="1"/>
  <c r="F153" i="1"/>
  <c r="F156" i="1"/>
  <c r="F161" i="1"/>
  <c r="H161" i="1" s="1"/>
  <c r="F162" i="1"/>
  <c r="H162" i="1" s="1"/>
  <c r="F163" i="1"/>
  <c r="F168" i="1"/>
  <c r="F170" i="1"/>
  <c r="F171" i="1"/>
  <c r="F173" i="1"/>
  <c r="F179" i="1"/>
  <c r="F187" i="1"/>
  <c r="F188" i="1"/>
  <c r="F192" i="1"/>
  <c r="F195" i="1"/>
  <c r="F200" i="1"/>
  <c r="H200" i="1" s="1"/>
  <c r="F201" i="1"/>
  <c r="F203" i="1"/>
  <c r="F204" i="1"/>
  <c r="F206" i="1"/>
  <c r="F208" i="1"/>
  <c r="F210" i="1"/>
  <c r="F212" i="1"/>
  <c r="F213" i="1"/>
  <c r="F214" i="1"/>
  <c r="F215" i="1"/>
  <c r="F220" i="1"/>
  <c r="F221" i="1"/>
  <c r="F222" i="1"/>
  <c r="F226" i="1"/>
  <c r="F227" i="1"/>
  <c r="F231" i="1"/>
  <c r="F239" i="1"/>
  <c r="F242" i="1"/>
  <c r="F244" i="1"/>
  <c r="F250" i="1"/>
  <c r="F251" i="1"/>
  <c r="F256" i="1"/>
  <c r="F259" i="1"/>
  <c r="F260" i="1"/>
  <c r="F261" i="1"/>
  <c r="F262" i="1"/>
  <c r="F264" i="1"/>
  <c r="F266" i="1"/>
  <c r="F268" i="1"/>
  <c r="F271" i="1"/>
  <c r="F272" i="1"/>
  <c r="F273" i="1"/>
  <c r="F275" i="1"/>
  <c r="F276" i="1"/>
  <c r="F293" i="1"/>
  <c r="H165" i="1" l="1"/>
  <c r="H266" i="1"/>
  <c r="H163" i="1"/>
  <c r="H264" i="1"/>
  <c r="H261" i="1"/>
  <c r="H92" i="1"/>
  <c r="H90" i="1"/>
  <c r="L291" i="1"/>
  <c r="H137" i="1"/>
  <c r="H61" i="1"/>
  <c r="H227" i="1"/>
  <c r="H220" i="1"/>
  <c r="H69" i="1"/>
  <c r="H56" i="1"/>
  <c r="H240" i="1"/>
  <c r="H222" i="1"/>
  <c r="H168" i="1"/>
  <c r="H28" i="1"/>
  <c r="K65" i="1"/>
  <c r="H201" i="1"/>
  <c r="H36" i="1"/>
  <c r="S252" i="1"/>
  <c r="H304" i="1"/>
  <c r="K118" i="1"/>
  <c r="K133" i="1"/>
  <c r="K238" i="1"/>
  <c r="G294" i="1"/>
  <c r="S294" i="1"/>
  <c r="S301" i="1"/>
  <c r="F301" i="1"/>
  <c r="F294" i="1"/>
  <c r="H226" i="1"/>
  <c r="H221" i="1"/>
  <c r="H216" i="1"/>
  <c r="H305" i="1"/>
  <c r="H302" i="1"/>
  <c r="H275" i="1"/>
  <c r="H273" i="1"/>
  <c r="H271" i="1"/>
  <c r="H259" i="1"/>
  <c r="H256" i="1"/>
  <c r="H251" i="1"/>
  <c r="H242" i="1"/>
  <c r="H234" i="1"/>
  <c r="H214" i="1"/>
  <c r="H210" i="1"/>
  <c r="H204" i="1"/>
  <c r="H192" i="1"/>
  <c r="H187" i="1"/>
  <c r="H171" i="1"/>
  <c r="H170" i="1"/>
  <c r="H151" i="1"/>
  <c r="H130" i="1"/>
  <c r="H120" i="1"/>
  <c r="H117" i="1"/>
  <c r="H113" i="1"/>
  <c r="H109" i="1"/>
  <c r="H97" i="1"/>
  <c r="H80" i="1"/>
  <c r="H77" i="1"/>
  <c r="H73" i="1"/>
  <c r="H62" i="1"/>
  <c r="H52" i="1"/>
  <c r="H49" i="1"/>
  <c r="H39" i="1"/>
  <c r="H38" i="1"/>
  <c r="H33" i="1"/>
  <c r="H306" i="1"/>
  <c r="H293" i="1"/>
  <c r="H276" i="1"/>
  <c r="H272" i="1"/>
  <c r="H262" i="1"/>
  <c r="H260" i="1"/>
  <c r="H244" i="1"/>
  <c r="H239" i="1"/>
  <c r="H233" i="1"/>
  <c r="H231" i="1"/>
  <c r="H215" i="1"/>
  <c r="H208" i="1"/>
  <c r="H203" i="1"/>
  <c r="H195" i="1"/>
  <c r="H188" i="1"/>
  <c r="H173" i="1"/>
  <c r="H156" i="1"/>
  <c r="H153" i="1"/>
  <c r="H147" i="1"/>
  <c r="H129" i="1"/>
  <c r="H123" i="1"/>
  <c r="H119" i="1"/>
  <c r="H115" i="1"/>
  <c r="H110" i="1"/>
  <c r="H105" i="1"/>
  <c r="H93" i="1"/>
  <c r="H91" i="1"/>
  <c r="H79" i="1"/>
  <c r="H76" i="1"/>
  <c r="H68" i="1"/>
  <c r="H66" i="1"/>
  <c r="H63" i="1"/>
  <c r="H54" i="1"/>
  <c r="H51" i="1"/>
  <c r="H18" i="1"/>
  <c r="H12" i="1"/>
  <c r="H37" i="1"/>
  <c r="H35" i="1"/>
  <c r="H134" i="1"/>
  <c r="H31" i="1"/>
  <c r="H15" i="1"/>
  <c r="H206" i="1"/>
  <c r="G133" i="1"/>
  <c r="F133" i="1"/>
  <c r="V60" i="1"/>
  <c r="X20" i="1"/>
  <c r="R32" i="1"/>
  <c r="J300" i="1"/>
  <c r="L300" i="1"/>
  <c r="M300" i="1"/>
  <c r="N300" i="1"/>
  <c r="P300" i="1"/>
  <c r="Q300" i="1"/>
  <c r="R300" i="1"/>
  <c r="T300" i="1"/>
  <c r="U300" i="1"/>
  <c r="V300" i="1"/>
  <c r="W300" i="1"/>
  <c r="X300" i="1"/>
  <c r="O300" i="1"/>
  <c r="J292" i="1"/>
  <c r="J291" i="1" s="1"/>
  <c r="I292" i="1"/>
  <c r="I291" i="1" s="1"/>
  <c r="F252" i="1"/>
  <c r="R202" i="1"/>
  <c r="Q202" i="1"/>
  <c r="I74" i="1"/>
  <c r="J74" i="1"/>
  <c r="R74" i="1"/>
  <c r="Q74" i="1"/>
  <c r="R60" i="1"/>
  <c r="J219" i="1"/>
  <c r="I219" i="1"/>
  <c r="I211" i="1" s="1"/>
  <c r="L60" i="1"/>
  <c r="M60" i="1"/>
  <c r="N60" i="1"/>
  <c r="N57" i="1" s="1"/>
  <c r="O60" i="1"/>
  <c r="T60" i="1"/>
  <c r="U60" i="1"/>
  <c r="W60" i="1"/>
  <c r="X60" i="1"/>
  <c r="I67" i="1"/>
  <c r="K67" i="1" s="1"/>
  <c r="L67" i="1"/>
  <c r="M67" i="1"/>
  <c r="N67" i="1"/>
  <c r="O67" i="1"/>
  <c r="P67" i="1"/>
  <c r="Q67" i="1"/>
  <c r="R67" i="1"/>
  <c r="T67" i="1"/>
  <c r="U67" i="1"/>
  <c r="V67" i="1"/>
  <c r="W67" i="1"/>
  <c r="X67" i="1"/>
  <c r="I72" i="1"/>
  <c r="J72" i="1"/>
  <c r="L72" i="1"/>
  <c r="M72" i="1"/>
  <c r="N72" i="1"/>
  <c r="O72" i="1"/>
  <c r="P72" i="1"/>
  <c r="Q72" i="1"/>
  <c r="R72" i="1"/>
  <c r="T72" i="1"/>
  <c r="U72" i="1"/>
  <c r="V72" i="1"/>
  <c r="W72" i="1"/>
  <c r="X72" i="1"/>
  <c r="L74" i="1"/>
  <c r="M74" i="1"/>
  <c r="N74" i="1"/>
  <c r="O74" i="1"/>
  <c r="P74" i="1"/>
  <c r="T74" i="1"/>
  <c r="U74" i="1"/>
  <c r="V74" i="1"/>
  <c r="W74" i="1"/>
  <c r="X74" i="1"/>
  <c r="I78" i="1"/>
  <c r="J78" i="1"/>
  <c r="L78" i="1"/>
  <c r="M78" i="1"/>
  <c r="N78" i="1"/>
  <c r="O78" i="1"/>
  <c r="P78" i="1"/>
  <c r="Q78" i="1"/>
  <c r="R78" i="1"/>
  <c r="T78" i="1"/>
  <c r="U78" i="1"/>
  <c r="V78" i="1"/>
  <c r="W78" i="1"/>
  <c r="X78" i="1"/>
  <c r="L89" i="1"/>
  <c r="M89" i="1"/>
  <c r="N89" i="1"/>
  <c r="O89" i="1"/>
  <c r="P89" i="1"/>
  <c r="Q89" i="1"/>
  <c r="R89" i="1"/>
  <c r="T89" i="1"/>
  <c r="U89" i="1"/>
  <c r="V89" i="1"/>
  <c r="W89" i="1"/>
  <c r="X89" i="1"/>
  <c r="T96" i="1"/>
  <c r="T94" i="1" s="1"/>
  <c r="U96" i="1"/>
  <c r="U94" i="1" s="1"/>
  <c r="V96" i="1"/>
  <c r="V94" i="1" s="1"/>
  <c r="W96" i="1"/>
  <c r="W94" i="1" s="1"/>
  <c r="X96" i="1"/>
  <c r="X94" i="1" s="1"/>
  <c r="I169" i="1"/>
  <c r="I146" i="1"/>
  <c r="J202" i="1"/>
  <c r="J194" i="1"/>
  <c r="I194" i="1"/>
  <c r="I230" i="1"/>
  <c r="J46" i="1"/>
  <c r="I247" i="1"/>
  <c r="I114" i="1"/>
  <c r="R71" i="1" l="1"/>
  <c r="I71" i="1"/>
  <c r="J71" i="1"/>
  <c r="G71" i="1" s="1"/>
  <c r="Q71" i="1"/>
  <c r="K277" i="1"/>
  <c r="S202" i="1"/>
  <c r="W88" i="1"/>
  <c r="W86" i="1" s="1"/>
  <c r="W83" i="1" s="1"/>
  <c r="W81" i="1" s="1"/>
  <c r="U88" i="1"/>
  <c r="U86" i="1" s="1"/>
  <c r="U83" i="1" s="1"/>
  <c r="U81" i="1" s="1"/>
  <c r="R88" i="1"/>
  <c r="R83" i="1" s="1"/>
  <c r="P88" i="1"/>
  <c r="P81" i="1" s="1"/>
  <c r="P71" i="1" s="1"/>
  <c r="L88" i="1"/>
  <c r="L86" i="1" s="1"/>
  <c r="X88" i="1"/>
  <c r="X86" i="1" s="1"/>
  <c r="X83" i="1" s="1"/>
  <c r="X81" i="1" s="1"/>
  <c r="V88" i="1"/>
  <c r="V86" i="1" s="1"/>
  <c r="V83" i="1" s="1"/>
  <c r="V81" i="1" s="1"/>
  <c r="T88" i="1"/>
  <c r="T86" i="1" s="1"/>
  <c r="T83" i="1" s="1"/>
  <c r="T81" i="1" s="1"/>
  <c r="Q88" i="1"/>
  <c r="O88" i="1"/>
  <c r="O81" i="1" s="1"/>
  <c r="O71" i="1" s="1"/>
  <c r="M88" i="1"/>
  <c r="M86" i="1" s="1"/>
  <c r="I57" i="1"/>
  <c r="H294" i="1"/>
  <c r="K219" i="1"/>
  <c r="K78" i="1"/>
  <c r="K72" i="1"/>
  <c r="K89" i="1"/>
  <c r="K292" i="1"/>
  <c r="K263" i="1"/>
  <c r="K211" i="1"/>
  <c r="K125" i="1"/>
  <c r="G252" i="1"/>
  <c r="H252" i="1" s="1"/>
  <c r="K252" i="1"/>
  <c r="K46" i="1"/>
  <c r="K194" i="1"/>
  <c r="S89" i="1"/>
  <c r="K60" i="1"/>
  <c r="K74" i="1"/>
  <c r="S300" i="1"/>
  <c r="H133" i="1"/>
  <c r="G202" i="1"/>
  <c r="X71" i="1"/>
  <c r="V71" i="1"/>
  <c r="T71" i="1"/>
  <c r="M71" i="1"/>
  <c r="W71" i="1"/>
  <c r="U71" i="1"/>
  <c r="N71" i="1"/>
  <c r="L71" i="1"/>
  <c r="X57" i="1"/>
  <c r="U57" i="1"/>
  <c r="P57" i="1"/>
  <c r="L57" i="1"/>
  <c r="Q57" i="1"/>
  <c r="W57" i="1"/>
  <c r="T57" i="1"/>
  <c r="O57" i="1"/>
  <c r="M57" i="1"/>
  <c r="R57" i="1"/>
  <c r="V57" i="1"/>
  <c r="F60" i="1"/>
  <c r="G60" i="1"/>
  <c r="G300" i="1"/>
  <c r="G78" i="1"/>
  <c r="G72" i="1"/>
  <c r="F67" i="1"/>
  <c r="G65" i="1"/>
  <c r="G178" i="1"/>
  <c r="H178" i="1" s="1"/>
  <c r="G96" i="1"/>
  <c r="F89" i="1"/>
  <c r="G74" i="1"/>
  <c r="F211" i="1"/>
  <c r="K291" i="1"/>
  <c r="G89" i="1"/>
  <c r="F78" i="1"/>
  <c r="F72" i="1"/>
  <c r="G67" i="1"/>
  <c r="F65" i="1"/>
  <c r="F74" i="1"/>
  <c r="I300" i="1"/>
  <c r="S71" i="1" l="1"/>
  <c r="S83" i="1"/>
  <c r="G57" i="1"/>
  <c r="S57" i="1"/>
  <c r="M83" i="1"/>
  <c r="M81" i="1" s="1"/>
  <c r="L83" i="1"/>
  <c r="L81" i="1" s="1"/>
  <c r="K86" i="1"/>
  <c r="G86" i="1"/>
  <c r="F86" i="1"/>
  <c r="F57" i="1"/>
  <c r="H89" i="1"/>
  <c r="F300" i="1"/>
  <c r="H300" i="1" s="1"/>
  <c r="F88" i="1"/>
  <c r="H211" i="1"/>
  <c r="H60" i="1"/>
  <c r="S88" i="1"/>
  <c r="H67" i="1"/>
  <c r="K88" i="1"/>
  <c r="K57" i="1"/>
  <c r="H74" i="1"/>
  <c r="H78" i="1"/>
  <c r="H96" i="1"/>
  <c r="H65" i="1"/>
  <c r="H72" i="1"/>
  <c r="G88" i="1"/>
  <c r="K114" i="1"/>
  <c r="T230" i="1"/>
  <c r="K83" i="1" l="1"/>
  <c r="G83" i="1"/>
  <c r="H86" i="1"/>
  <c r="H88" i="1"/>
  <c r="H57" i="1"/>
  <c r="L125" i="1"/>
  <c r="F81" i="1" l="1"/>
  <c r="K81" i="1"/>
  <c r="G81" i="1"/>
  <c r="H83" i="1"/>
  <c r="P194" i="1"/>
  <c r="R230" i="1"/>
  <c r="Q230" i="1"/>
  <c r="F230" i="1" s="1"/>
  <c r="J104" i="1"/>
  <c r="J274" i="1"/>
  <c r="L247" i="1"/>
  <c r="K247" i="1"/>
  <c r="L230" i="1"/>
  <c r="J230" i="1"/>
  <c r="J193" i="1" s="1"/>
  <c r="J172" i="1"/>
  <c r="J169" i="1"/>
  <c r="K169" i="1" s="1"/>
  <c r="J146" i="1"/>
  <c r="J241" i="1"/>
  <c r="J191" i="1"/>
  <c r="J122" i="1"/>
  <c r="J116" i="1"/>
  <c r="J112" i="1"/>
  <c r="J32" i="1"/>
  <c r="J17" i="1"/>
  <c r="I17" i="1"/>
  <c r="J16" i="1"/>
  <c r="I16" i="1"/>
  <c r="J11" i="1"/>
  <c r="J8" i="1" s="1"/>
  <c r="I11" i="1"/>
  <c r="I8" i="1" s="1"/>
  <c r="X186" i="1"/>
  <c r="W186" i="1"/>
  <c r="V186" i="1"/>
  <c r="U186" i="1"/>
  <c r="T186" i="1"/>
  <c r="R186" i="1"/>
  <c r="Q186" i="1"/>
  <c r="P186" i="1"/>
  <c r="P185" i="1" s="1"/>
  <c r="O186" i="1"/>
  <c r="N186" i="1"/>
  <c r="M186" i="1"/>
  <c r="L186" i="1"/>
  <c r="J186" i="1"/>
  <c r="I186" i="1"/>
  <c r="X178" i="1"/>
  <c r="W178" i="1"/>
  <c r="V178" i="1"/>
  <c r="U178" i="1"/>
  <c r="P178" i="1"/>
  <c r="I274" i="1"/>
  <c r="I258" i="1"/>
  <c r="I241" i="1"/>
  <c r="I202" i="1"/>
  <c r="I193" i="1" s="1"/>
  <c r="I191" i="1"/>
  <c r="I172" i="1"/>
  <c r="I122" i="1"/>
  <c r="I116" i="1"/>
  <c r="I112" i="1"/>
  <c r="J20" i="1"/>
  <c r="L20" i="1"/>
  <c r="M20" i="1"/>
  <c r="N20" i="1"/>
  <c r="O20" i="1"/>
  <c r="P20" i="1"/>
  <c r="R20" i="1"/>
  <c r="T20" i="1"/>
  <c r="U20" i="1"/>
  <c r="V20" i="1"/>
  <c r="W20" i="1"/>
  <c r="L202" i="1"/>
  <c r="M202" i="1"/>
  <c r="N202" i="1"/>
  <c r="O202" i="1"/>
  <c r="P202" i="1"/>
  <c r="U263" i="1"/>
  <c r="V263" i="1"/>
  <c r="W263" i="1"/>
  <c r="X263" i="1"/>
  <c r="T263" i="1"/>
  <c r="M263" i="1"/>
  <c r="N263" i="1"/>
  <c r="O263" i="1"/>
  <c r="P263" i="1"/>
  <c r="Q263" i="1"/>
  <c r="F263" i="1" s="1"/>
  <c r="R263" i="1"/>
  <c r="L263" i="1"/>
  <c r="L191" i="1"/>
  <c r="M191" i="1"/>
  <c r="N191" i="1"/>
  <c r="O191" i="1"/>
  <c r="P191" i="1"/>
  <c r="Q191" i="1"/>
  <c r="R191" i="1"/>
  <c r="T191" i="1"/>
  <c r="U191" i="1"/>
  <c r="V191" i="1"/>
  <c r="W191" i="1"/>
  <c r="X191" i="1"/>
  <c r="U155" i="1"/>
  <c r="V155" i="1"/>
  <c r="W155" i="1"/>
  <c r="X155" i="1"/>
  <c r="T155" i="1"/>
  <c r="M155" i="1"/>
  <c r="N155" i="1"/>
  <c r="O155" i="1"/>
  <c r="P155" i="1"/>
  <c r="Q155" i="1"/>
  <c r="R155" i="1"/>
  <c r="U46" i="1"/>
  <c r="U45" i="1" s="1"/>
  <c r="V46" i="1"/>
  <c r="V45" i="1" s="1"/>
  <c r="W46" i="1"/>
  <c r="W45" i="1" s="1"/>
  <c r="X46" i="1"/>
  <c r="X45" i="1" s="1"/>
  <c r="T46" i="1"/>
  <c r="T45" i="1" s="1"/>
  <c r="M46" i="1"/>
  <c r="M45" i="1" s="1"/>
  <c r="N46" i="1"/>
  <c r="N45" i="1" s="1"/>
  <c r="O46" i="1"/>
  <c r="O45" i="1" s="1"/>
  <c r="P46" i="1"/>
  <c r="P45" i="1" s="1"/>
  <c r="Q46" i="1"/>
  <c r="R46" i="1"/>
  <c r="L46" i="1"/>
  <c r="L45" i="1" s="1"/>
  <c r="I45" i="1"/>
  <c r="L274" i="1"/>
  <c r="M274" i="1"/>
  <c r="N274" i="1"/>
  <c r="O274" i="1"/>
  <c r="P274" i="1"/>
  <c r="Q274" i="1"/>
  <c r="R274" i="1"/>
  <c r="T274" i="1"/>
  <c r="U274" i="1"/>
  <c r="V274" i="1"/>
  <c r="W274" i="1"/>
  <c r="X274" i="1"/>
  <c r="L270" i="1"/>
  <c r="M270" i="1"/>
  <c r="N270" i="1"/>
  <c r="O270" i="1"/>
  <c r="P270" i="1"/>
  <c r="Q270" i="1"/>
  <c r="R270" i="1"/>
  <c r="T270" i="1"/>
  <c r="U270" i="1"/>
  <c r="V270" i="1"/>
  <c r="W270" i="1"/>
  <c r="X270" i="1"/>
  <c r="J258" i="1"/>
  <c r="L258" i="1"/>
  <c r="M258" i="1"/>
  <c r="N258" i="1"/>
  <c r="O258" i="1"/>
  <c r="P258" i="1"/>
  <c r="Q258" i="1"/>
  <c r="R258" i="1"/>
  <c r="T258" i="1"/>
  <c r="U258" i="1"/>
  <c r="V258" i="1"/>
  <c r="W258" i="1"/>
  <c r="X258" i="1"/>
  <c r="M247" i="1"/>
  <c r="N247" i="1"/>
  <c r="O247" i="1"/>
  <c r="P247" i="1"/>
  <c r="Q247" i="1"/>
  <c r="F247" i="1" s="1"/>
  <c r="R247" i="1"/>
  <c r="T247" i="1"/>
  <c r="U247" i="1"/>
  <c r="V247" i="1"/>
  <c r="W247" i="1"/>
  <c r="X247" i="1"/>
  <c r="L243" i="1"/>
  <c r="M243" i="1"/>
  <c r="N243" i="1"/>
  <c r="O243" i="1"/>
  <c r="P243" i="1"/>
  <c r="U243" i="1"/>
  <c r="V243" i="1"/>
  <c r="W243" i="1"/>
  <c r="X243" i="1"/>
  <c r="L241" i="1"/>
  <c r="L237" i="1" s="1"/>
  <c r="M241" i="1"/>
  <c r="N241" i="1"/>
  <c r="N237" i="1" s="1"/>
  <c r="O241" i="1"/>
  <c r="P241" i="1"/>
  <c r="P237" i="1" s="1"/>
  <c r="Q241" i="1"/>
  <c r="R241" i="1"/>
  <c r="R237" i="1" s="1"/>
  <c r="T241" i="1"/>
  <c r="U241" i="1"/>
  <c r="U237" i="1" s="1"/>
  <c r="U235" i="1" s="1"/>
  <c r="V241" i="1"/>
  <c r="W241" i="1"/>
  <c r="W237" i="1" s="1"/>
  <c r="W235" i="1" s="1"/>
  <c r="X241" i="1"/>
  <c r="M230" i="1"/>
  <c r="N230" i="1"/>
  <c r="O230" i="1"/>
  <c r="U230" i="1"/>
  <c r="V230" i="1"/>
  <c r="W230" i="1"/>
  <c r="X230" i="1"/>
  <c r="L219" i="1"/>
  <c r="M219" i="1"/>
  <c r="N219" i="1"/>
  <c r="O219" i="1"/>
  <c r="P219" i="1"/>
  <c r="Q219" i="1"/>
  <c r="F219" i="1" s="1"/>
  <c r="R219" i="1"/>
  <c r="T219" i="1"/>
  <c r="U219" i="1"/>
  <c r="V219" i="1"/>
  <c r="W219" i="1"/>
  <c r="X219" i="1"/>
  <c r="L211" i="1"/>
  <c r="M211" i="1"/>
  <c r="N211" i="1"/>
  <c r="O211" i="1"/>
  <c r="T211" i="1"/>
  <c r="U211" i="1"/>
  <c r="W211" i="1"/>
  <c r="X211" i="1"/>
  <c r="T202" i="1"/>
  <c r="U202" i="1"/>
  <c r="V202" i="1"/>
  <c r="W202" i="1"/>
  <c r="X202" i="1"/>
  <c r="L194" i="1"/>
  <c r="M194" i="1"/>
  <c r="N194" i="1"/>
  <c r="O194" i="1"/>
  <c r="Q194" i="1"/>
  <c r="R194" i="1"/>
  <c r="T194" i="1"/>
  <c r="U194" i="1"/>
  <c r="V194" i="1"/>
  <c r="W194" i="1"/>
  <c r="X194" i="1"/>
  <c r="L172" i="1"/>
  <c r="M172" i="1"/>
  <c r="N172" i="1"/>
  <c r="O172" i="1"/>
  <c r="P172" i="1"/>
  <c r="Q172" i="1"/>
  <c r="R172" i="1"/>
  <c r="T172" i="1"/>
  <c r="U172" i="1"/>
  <c r="V172" i="1"/>
  <c r="W172" i="1"/>
  <c r="X172" i="1"/>
  <c r="L169" i="1"/>
  <c r="M169" i="1"/>
  <c r="N169" i="1"/>
  <c r="O169" i="1"/>
  <c r="P169" i="1"/>
  <c r="Q169" i="1"/>
  <c r="F169" i="1" s="1"/>
  <c r="R169" i="1"/>
  <c r="T169" i="1"/>
  <c r="U169" i="1"/>
  <c r="V169" i="1"/>
  <c r="W169" i="1"/>
  <c r="X169" i="1"/>
  <c r="I155" i="1"/>
  <c r="I124" i="1" s="1"/>
  <c r="J155" i="1"/>
  <c r="L155" i="1"/>
  <c r="L146" i="1"/>
  <c r="M146" i="1"/>
  <c r="N146" i="1"/>
  <c r="O146" i="1"/>
  <c r="P146" i="1"/>
  <c r="Q146" i="1"/>
  <c r="R146" i="1"/>
  <c r="T146" i="1"/>
  <c r="U146" i="1"/>
  <c r="V146" i="1"/>
  <c r="W146" i="1"/>
  <c r="X146" i="1"/>
  <c r="M125" i="1"/>
  <c r="N125" i="1"/>
  <c r="O125" i="1"/>
  <c r="P125" i="1"/>
  <c r="Q125" i="1"/>
  <c r="Q124" i="1" s="1"/>
  <c r="R125" i="1"/>
  <c r="T125" i="1"/>
  <c r="U125" i="1"/>
  <c r="V125" i="1"/>
  <c r="W125" i="1"/>
  <c r="X125" i="1"/>
  <c r="L122" i="1"/>
  <c r="M122" i="1"/>
  <c r="N122" i="1"/>
  <c r="O122" i="1"/>
  <c r="P122" i="1"/>
  <c r="Q122" i="1"/>
  <c r="R122" i="1"/>
  <c r="T122" i="1"/>
  <c r="U122" i="1"/>
  <c r="V122" i="1"/>
  <c r="W122" i="1"/>
  <c r="X122" i="1"/>
  <c r="L116" i="1"/>
  <c r="M116" i="1"/>
  <c r="N116" i="1"/>
  <c r="O116" i="1"/>
  <c r="P116" i="1"/>
  <c r="Q116" i="1"/>
  <c r="R116" i="1"/>
  <c r="T116" i="1"/>
  <c r="U116" i="1"/>
  <c r="V116" i="1"/>
  <c r="W116" i="1"/>
  <c r="X116" i="1"/>
  <c r="L112" i="1"/>
  <c r="L114" i="1" s="1"/>
  <c r="M112" i="1"/>
  <c r="M114" i="1" s="1"/>
  <c r="N112" i="1"/>
  <c r="N114" i="1" s="1"/>
  <c r="O112" i="1"/>
  <c r="O114" i="1" s="1"/>
  <c r="P112" i="1"/>
  <c r="P114" i="1" s="1"/>
  <c r="Q112" i="1"/>
  <c r="R112" i="1"/>
  <c r="T112" i="1"/>
  <c r="T114" i="1" s="1"/>
  <c r="U112" i="1"/>
  <c r="U114" i="1" s="1"/>
  <c r="V112" i="1"/>
  <c r="V114" i="1" s="1"/>
  <c r="W112" i="1"/>
  <c r="W114" i="1" s="1"/>
  <c r="X112" i="1"/>
  <c r="X114" i="1" s="1"/>
  <c r="J108" i="1"/>
  <c r="L108" i="1"/>
  <c r="M108" i="1"/>
  <c r="N108" i="1"/>
  <c r="O108" i="1"/>
  <c r="P108" i="1"/>
  <c r="Q108" i="1"/>
  <c r="R108" i="1"/>
  <c r="T108" i="1"/>
  <c r="U108" i="1"/>
  <c r="V108" i="1"/>
  <c r="W108" i="1"/>
  <c r="X108" i="1"/>
  <c r="L104" i="1"/>
  <c r="M104" i="1"/>
  <c r="M103" i="1" s="1"/>
  <c r="N104" i="1"/>
  <c r="O104" i="1"/>
  <c r="O103" i="1" s="1"/>
  <c r="P104" i="1"/>
  <c r="Q104" i="1"/>
  <c r="Q103" i="1" s="1"/>
  <c r="R104" i="1"/>
  <c r="T104" i="1"/>
  <c r="T103" i="1" s="1"/>
  <c r="U104" i="1"/>
  <c r="V104" i="1"/>
  <c r="V103" i="1" s="1"/>
  <c r="W104" i="1"/>
  <c r="X104" i="1"/>
  <c r="X103" i="1" s="1"/>
  <c r="J45" i="1"/>
  <c r="L32" i="1"/>
  <c r="M32" i="1"/>
  <c r="N32" i="1"/>
  <c r="O32" i="1"/>
  <c r="P32" i="1"/>
  <c r="Q32" i="1"/>
  <c r="S32" i="1" s="1"/>
  <c r="T32" i="1"/>
  <c r="U32" i="1"/>
  <c r="V32" i="1"/>
  <c r="W32" i="1"/>
  <c r="X32" i="1"/>
  <c r="L17" i="1"/>
  <c r="L16" i="1" s="1"/>
  <c r="M17" i="1"/>
  <c r="M16" i="1" s="1"/>
  <c r="N17" i="1"/>
  <c r="N16" i="1" s="1"/>
  <c r="O17" i="1"/>
  <c r="O16" i="1" s="1"/>
  <c r="P17" i="1"/>
  <c r="P16" i="1" s="1"/>
  <c r="Q17" i="1"/>
  <c r="Q16" i="1" s="1"/>
  <c r="R17" i="1"/>
  <c r="T17" i="1"/>
  <c r="T16" i="1" s="1"/>
  <c r="U17" i="1"/>
  <c r="U16" i="1" s="1"/>
  <c r="V17" i="1"/>
  <c r="V16" i="1" s="1"/>
  <c r="W17" i="1"/>
  <c r="W16" i="1" s="1"/>
  <c r="X17" i="1"/>
  <c r="X16" i="1" s="1"/>
  <c r="L14" i="1"/>
  <c r="M14" i="1"/>
  <c r="M13" i="1" s="1"/>
  <c r="N14" i="1"/>
  <c r="N13" i="1" s="1"/>
  <c r="O14" i="1"/>
  <c r="O13" i="1" s="1"/>
  <c r="P14" i="1"/>
  <c r="P13" i="1" s="1"/>
  <c r="Q14" i="1"/>
  <c r="Q13" i="1" s="1"/>
  <c r="R14" i="1"/>
  <c r="T14" i="1"/>
  <c r="T13" i="1" s="1"/>
  <c r="U14" i="1"/>
  <c r="U13" i="1" s="1"/>
  <c r="V14" i="1"/>
  <c r="V13" i="1" s="1"/>
  <c r="W14" i="1"/>
  <c r="W13" i="1" s="1"/>
  <c r="X14" i="1"/>
  <c r="X13" i="1" s="1"/>
  <c r="L13" i="1"/>
  <c r="L11" i="1"/>
  <c r="L8" i="1" s="1"/>
  <c r="M11" i="1"/>
  <c r="M8" i="1" s="1"/>
  <c r="N11" i="1"/>
  <c r="N8" i="1" s="1"/>
  <c r="O11" i="1"/>
  <c r="O8" i="1" s="1"/>
  <c r="P11" i="1"/>
  <c r="P8" i="1" s="1"/>
  <c r="Q11" i="1"/>
  <c r="Q8" i="1" s="1"/>
  <c r="R11" i="1"/>
  <c r="T11" i="1"/>
  <c r="T8" i="1" s="1"/>
  <c r="U11" i="1"/>
  <c r="U8" i="1" s="1"/>
  <c r="V11" i="1"/>
  <c r="V8" i="1" s="1"/>
  <c r="W11" i="1"/>
  <c r="W8" i="1" s="1"/>
  <c r="X11" i="1"/>
  <c r="X8" i="1" s="1"/>
  <c r="T292" i="1"/>
  <c r="T291" i="1" s="1"/>
  <c r="U292" i="1"/>
  <c r="U291" i="1" s="1"/>
  <c r="V292" i="1"/>
  <c r="V291" i="1" s="1"/>
  <c r="W292" i="1"/>
  <c r="W291" i="1" s="1"/>
  <c r="X292" i="1"/>
  <c r="X291" i="1" s="1"/>
  <c r="M291" i="1"/>
  <c r="N291" i="1"/>
  <c r="O291" i="1"/>
  <c r="P291" i="1"/>
  <c r="Q292" i="1"/>
  <c r="R292" i="1"/>
  <c r="O193" i="1" l="1"/>
  <c r="M193" i="1"/>
  <c r="X237" i="1"/>
  <c r="X235" i="1" s="1"/>
  <c r="V237" i="1"/>
  <c r="V235" i="1" s="1"/>
  <c r="T237" i="1"/>
  <c r="T235" i="1" s="1"/>
  <c r="Q237" i="1"/>
  <c r="S237" i="1" s="1"/>
  <c r="O237" i="1"/>
  <c r="M237" i="1"/>
  <c r="J185" i="1"/>
  <c r="Q185" i="1"/>
  <c r="J124" i="1"/>
  <c r="I185" i="1"/>
  <c r="H81" i="1"/>
  <c r="F71" i="1"/>
  <c r="H71" i="1" s="1"/>
  <c r="K71" i="1"/>
  <c r="K108" i="1"/>
  <c r="W193" i="1"/>
  <c r="U193" i="1"/>
  <c r="R193" i="1"/>
  <c r="I237" i="1"/>
  <c r="X193" i="1"/>
  <c r="V193" i="1"/>
  <c r="T193" i="1"/>
  <c r="Q193" i="1"/>
  <c r="J237" i="1"/>
  <c r="S155" i="1"/>
  <c r="P124" i="1"/>
  <c r="N124" i="1"/>
  <c r="W257" i="1"/>
  <c r="U257" i="1"/>
  <c r="R257" i="1"/>
  <c r="P257" i="1"/>
  <c r="N257" i="1"/>
  <c r="L257" i="1"/>
  <c r="N193" i="1"/>
  <c r="L193" i="1"/>
  <c r="L124" i="1"/>
  <c r="O124" i="1"/>
  <c r="M124" i="1"/>
  <c r="P193" i="1"/>
  <c r="X257" i="1"/>
  <c r="V257" i="1"/>
  <c r="T257" i="1"/>
  <c r="Q257" i="1"/>
  <c r="O257" i="1"/>
  <c r="M257" i="1"/>
  <c r="F194" i="1"/>
  <c r="R124" i="1"/>
  <c r="F146" i="1"/>
  <c r="K146" i="1"/>
  <c r="I257" i="1"/>
  <c r="S186" i="1"/>
  <c r="K258" i="1"/>
  <c r="J257" i="1"/>
  <c r="K20" i="1"/>
  <c r="K112" i="1"/>
  <c r="K122" i="1"/>
  <c r="K274" i="1"/>
  <c r="R8" i="1"/>
  <c r="R114" i="1"/>
  <c r="G194" i="1"/>
  <c r="G219" i="1"/>
  <c r="H219" i="1" s="1"/>
  <c r="G46" i="1"/>
  <c r="S46" i="1"/>
  <c r="F202" i="1"/>
  <c r="H202" i="1" s="1"/>
  <c r="K202" i="1"/>
  <c r="K241" i="1"/>
  <c r="K172" i="1"/>
  <c r="R13" i="1"/>
  <c r="R16" i="1"/>
  <c r="G16" i="1" s="1"/>
  <c r="K45" i="1"/>
  <c r="K155" i="1"/>
  <c r="G263" i="1"/>
  <c r="H263" i="1" s="1"/>
  <c r="S20" i="1"/>
  <c r="I111" i="1"/>
  <c r="K8" i="1"/>
  <c r="K11" i="1"/>
  <c r="K14" i="1"/>
  <c r="K16" i="1"/>
  <c r="K17" i="1"/>
  <c r="K243" i="1"/>
  <c r="K116" i="1"/>
  <c r="K191" i="1"/>
  <c r="G230" i="1"/>
  <c r="H230" i="1" s="1"/>
  <c r="K230" i="1"/>
  <c r="K270" i="1"/>
  <c r="K104" i="1"/>
  <c r="G32" i="1"/>
  <c r="K32" i="1"/>
  <c r="W124" i="1"/>
  <c r="U124" i="1"/>
  <c r="L185" i="1"/>
  <c r="N185" i="1"/>
  <c r="R185" i="1"/>
  <c r="U185" i="1"/>
  <c r="W185" i="1"/>
  <c r="M185" i="1"/>
  <c r="O185" i="1"/>
  <c r="T185" i="1"/>
  <c r="V185" i="1"/>
  <c r="X185" i="1"/>
  <c r="X124" i="1"/>
  <c r="V124" i="1"/>
  <c r="T124" i="1"/>
  <c r="G125" i="1"/>
  <c r="F125" i="1"/>
  <c r="F155" i="1"/>
  <c r="F186" i="1"/>
  <c r="G155" i="1"/>
  <c r="G108" i="1"/>
  <c r="G258" i="1"/>
  <c r="F8" i="1"/>
  <c r="G118" i="1"/>
  <c r="G20" i="1"/>
  <c r="R291" i="1"/>
  <c r="G292" i="1"/>
  <c r="Q45" i="1"/>
  <c r="F45" i="1" s="1"/>
  <c r="F46" i="1"/>
  <c r="F108" i="1"/>
  <c r="F116" i="1"/>
  <c r="F122" i="1"/>
  <c r="F191" i="1"/>
  <c r="F241" i="1"/>
  <c r="F270" i="1"/>
  <c r="F274" i="1"/>
  <c r="F11" i="1"/>
  <c r="I13" i="1"/>
  <c r="F13" i="1" s="1"/>
  <c r="F14" i="1"/>
  <c r="G17" i="1"/>
  <c r="F32" i="1"/>
  <c r="G243" i="1"/>
  <c r="G116" i="1"/>
  <c r="G122" i="1"/>
  <c r="G191" i="1"/>
  <c r="G238" i="1"/>
  <c r="G241" i="1"/>
  <c r="G172" i="1"/>
  <c r="G247" i="1"/>
  <c r="H247" i="1" s="1"/>
  <c r="G274" i="1"/>
  <c r="G104" i="1"/>
  <c r="Q291" i="1"/>
  <c r="F292" i="1"/>
  <c r="F20" i="1"/>
  <c r="F112" i="1"/>
  <c r="F118" i="1"/>
  <c r="F172" i="1"/>
  <c r="F238" i="1"/>
  <c r="F258" i="1"/>
  <c r="G186" i="1"/>
  <c r="G11" i="1"/>
  <c r="G14" i="1"/>
  <c r="F16" i="1"/>
  <c r="F17" i="1"/>
  <c r="F243" i="1"/>
  <c r="G112" i="1"/>
  <c r="G146" i="1"/>
  <c r="G169" i="1"/>
  <c r="H169" i="1" s="1"/>
  <c r="G270" i="1"/>
  <c r="H270" i="1" s="1"/>
  <c r="F104" i="1"/>
  <c r="I19" i="1"/>
  <c r="R45" i="1"/>
  <c r="S45" i="1" s="1"/>
  <c r="J19" i="1"/>
  <c r="J111" i="1"/>
  <c r="Q111" i="1"/>
  <c r="Q114" i="1"/>
  <c r="F114" i="1" s="1"/>
  <c r="X19" i="1"/>
  <c r="V19" i="1"/>
  <c r="T19" i="1"/>
  <c r="Q19" i="1"/>
  <c r="O19" i="1"/>
  <c r="M19" i="1"/>
  <c r="W19" i="1"/>
  <c r="U19" i="1"/>
  <c r="P19" i="1"/>
  <c r="N19" i="1"/>
  <c r="L19" i="1"/>
  <c r="W103" i="1"/>
  <c r="U103" i="1"/>
  <c r="R103" i="1"/>
  <c r="P103" i="1"/>
  <c r="N103" i="1"/>
  <c r="L103" i="1"/>
  <c r="R111" i="1"/>
  <c r="J13" i="1"/>
  <c r="X111" i="1"/>
  <c r="M111" i="1"/>
  <c r="V111" i="1"/>
  <c r="T111" i="1"/>
  <c r="O111" i="1"/>
  <c r="W111" i="1"/>
  <c r="U111" i="1"/>
  <c r="P111" i="1"/>
  <c r="N111" i="1"/>
  <c r="L111" i="1"/>
  <c r="R19" i="1"/>
  <c r="J103" i="1"/>
  <c r="I303" i="1" l="1"/>
  <c r="I307" i="1" s="1"/>
  <c r="J303" i="1"/>
  <c r="J307" i="1" s="1"/>
  <c r="S193" i="1"/>
  <c r="M303" i="1"/>
  <c r="M307" i="1" s="1"/>
  <c r="O303" i="1"/>
  <c r="O307" i="1" s="1"/>
  <c r="F124" i="1"/>
  <c r="K124" i="1"/>
  <c r="L303" i="1"/>
  <c r="L307" i="1" s="1"/>
  <c r="P303" i="1"/>
  <c r="P307" i="1" s="1"/>
  <c r="F277" i="1"/>
  <c r="Q303" i="1"/>
  <c r="Q307" i="1" s="1"/>
  <c r="I311" i="1" s="1"/>
  <c r="G277" i="1"/>
  <c r="R303" i="1"/>
  <c r="G235" i="1"/>
  <c r="K235" i="1"/>
  <c r="H235" i="1"/>
  <c r="T303" i="1"/>
  <c r="T307" i="1" s="1"/>
  <c r="G100" i="1"/>
  <c r="F103" i="1"/>
  <c r="K19" i="1"/>
  <c r="W303" i="1"/>
  <c r="W307" i="1" s="1"/>
  <c r="U303" i="1"/>
  <c r="U307" i="1" s="1"/>
  <c r="V303" i="1"/>
  <c r="V307" i="1" s="1"/>
  <c r="H122" i="1"/>
  <c r="X303" i="1"/>
  <c r="X307" i="1" s="1"/>
  <c r="H241" i="1"/>
  <c r="H191" i="1"/>
  <c r="H116" i="1"/>
  <c r="H194" i="1"/>
  <c r="K257" i="1"/>
  <c r="K111" i="1"/>
  <c r="H146" i="1"/>
  <c r="H32" i="1"/>
  <c r="H46" i="1"/>
  <c r="F237" i="1"/>
  <c r="K103" i="1"/>
  <c r="S19" i="1"/>
  <c r="F291" i="1"/>
  <c r="G237" i="1"/>
  <c r="K237" i="1"/>
  <c r="G114" i="1"/>
  <c r="H114" i="1" s="1"/>
  <c r="G291" i="1"/>
  <c r="S291" i="1"/>
  <c r="S124" i="1"/>
  <c r="G185" i="1"/>
  <c r="K185" i="1"/>
  <c r="F111" i="1"/>
  <c r="G193" i="1"/>
  <c r="K13" i="1"/>
  <c r="H274" i="1"/>
  <c r="H112" i="1"/>
  <c r="H14" i="1"/>
  <c r="H186" i="1"/>
  <c r="H155" i="1"/>
  <c r="G124" i="1"/>
  <c r="G8" i="1"/>
  <c r="H8" i="1" s="1"/>
  <c r="H11" i="1"/>
  <c r="H172" i="1"/>
  <c r="H238" i="1"/>
  <c r="H243" i="1"/>
  <c r="H17" i="1"/>
  <c r="H118" i="1"/>
  <c r="H258" i="1"/>
  <c r="H125" i="1"/>
  <c r="H104" i="1"/>
  <c r="H16" i="1"/>
  <c r="H292" i="1"/>
  <c r="H20" i="1"/>
  <c r="H108" i="1"/>
  <c r="F185" i="1"/>
  <c r="G103" i="1"/>
  <c r="G13" i="1"/>
  <c r="H13" i="1" s="1"/>
  <c r="F193" i="1"/>
  <c r="F257" i="1"/>
  <c r="G45" i="1"/>
  <c r="H45" i="1" s="1"/>
  <c r="G111" i="1"/>
  <c r="G19" i="1"/>
  <c r="F19" i="1"/>
  <c r="H124" i="1" l="1"/>
  <c r="H277" i="1"/>
  <c r="K193" i="1"/>
  <c r="H237" i="1"/>
  <c r="H103" i="1"/>
  <c r="F303" i="1"/>
  <c r="F100" i="1"/>
  <c r="H100" i="1" s="1"/>
  <c r="K100" i="1"/>
  <c r="H185" i="1"/>
  <c r="H291" i="1"/>
  <c r="K303" i="1"/>
  <c r="H193" i="1"/>
  <c r="H19" i="1"/>
  <c r="H111" i="1"/>
  <c r="F307" i="1" l="1"/>
  <c r="F311" i="1" s="1"/>
  <c r="K307" i="1"/>
  <c r="G257" i="1"/>
  <c r="H257" i="1" s="1"/>
  <c r="R307" i="1"/>
  <c r="S307" i="1" l="1"/>
  <c r="J311" i="1"/>
  <c r="S303" i="1"/>
  <c r="G303" i="1"/>
  <c r="H303" i="1" l="1"/>
  <c r="H301" i="1" s="1"/>
  <c r="G307" i="1"/>
  <c r="H307" i="1" l="1"/>
  <c r="G311" i="1"/>
</calcChain>
</file>

<file path=xl/sharedStrings.xml><?xml version="1.0" encoding="utf-8"?>
<sst xmlns="http://schemas.openxmlformats.org/spreadsheetml/2006/main" count="543" uniqueCount="207">
  <si>
    <t>Dział</t>
  </si>
  <si>
    <t>Rozdział</t>
  </si>
  <si>
    <t>§</t>
  </si>
  <si>
    <t>Wyszczególnienie</t>
  </si>
  <si>
    <t xml:space="preserve">Dochody </t>
  </si>
  <si>
    <t>Rolnictwo i łowiectwo</t>
  </si>
  <si>
    <t xml:space="preserve"> Pozostała działalność</t>
  </si>
  <si>
    <t>0970</t>
  </si>
  <si>
    <t>Wpływy z różnych dochodów</t>
  </si>
  <si>
    <t>Leśnictwo</t>
  </si>
  <si>
    <t>02095</t>
  </si>
  <si>
    <t>Rybołówstwo i rybactwo</t>
  </si>
  <si>
    <t>0690</t>
  </si>
  <si>
    <t>Wpływy z różnych opłat</t>
  </si>
  <si>
    <t>Transport i łączność</t>
  </si>
  <si>
    <t>Drogi publiczne powiatowe</t>
  </si>
  <si>
    <t>0960</t>
  </si>
  <si>
    <t>2710</t>
  </si>
  <si>
    <t>6207</t>
  </si>
  <si>
    <t>6300</t>
  </si>
  <si>
    <t>0420</t>
  </si>
  <si>
    <t>Wpływy z opłaty komunikacyjnej</t>
  </si>
  <si>
    <t>0470</t>
  </si>
  <si>
    <t>Wpływy z opłat za zarząd, użytkowanie i użytkowanie wieczyste nieruchomości</t>
  </si>
  <si>
    <t>Gospodarka mieszkaniowa</t>
  </si>
  <si>
    <t>2360</t>
  </si>
  <si>
    <t>Dochody j.s.t. zwiazane z realizacją zadań z zakresu administracji</t>
  </si>
  <si>
    <t>2110</t>
  </si>
  <si>
    <t>Działalność usługowa</t>
  </si>
  <si>
    <t>0920</t>
  </si>
  <si>
    <t>Organizacja targów i wystaw</t>
  </si>
  <si>
    <t>Administracja publiczna</t>
  </si>
  <si>
    <t>0750</t>
  </si>
  <si>
    <t>Dotacje celowe otrzymane z samorządu województwa na inwestycje</t>
  </si>
  <si>
    <t>Kwalifikacja wojskowa</t>
  </si>
  <si>
    <t>2120</t>
  </si>
  <si>
    <t>Bezpieczeństwo publiczne i ochrona p.</t>
  </si>
  <si>
    <t>6410</t>
  </si>
  <si>
    <t>Wpływy z innych opłat stanowiących dochody j.s.t.</t>
  </si>
  <si>
    <t>0490</t>
  </si>
  <si>
    <t>Wpływy z innych lokalnych opłat pobieranych przez j.s.t</t>
  </si>
  <si>
    <t>0010</t>
  </si>
  <si>
    <t>Podatek dochodowy od osób fizycznych</t>
  </si>
  <si>
    <t>0020</t>
  </si>
  <si>
    <t>Podatek dochodowy od osób prawnych</t>
  </si>
  <si>
    <t>Różne rozliczenia</t>
  </si>
  <si>
    <t>2920</t>
  </si>
  <si>
    <t>Subwencje ogólne z budżetu państwa</t>
  </si>
  <si>
    <t xml:space="preserve"> Część równoważąca subwencji ogólnej dla powiatów</t>
  </si>
  <si>
    <t>Różne rozliczenia finansowe</t>
  </si>
  <si>
    <t>Oświata i wychowanie</t>
  </si>
  <si>
    <t xml:space="preserve"> Szkoły podstawowe specjalne</t>
  </si>
  <si>
    <t>0830</t>
  </si>
  <si>
    <t>Wpływy z usług</t>
  </si>
  <si>
    <t>2130</t>
  </si>
  <si>
    <t>2007</t>
  </si>
  <si>
    <t>Licea ogólnokształcące</t>
  </si>
  <si>
    <t>0840</t>
  </si>
  <si>
    <t>Wpływy ze sprzedaży wyrobów</t>
  </si>
  <si>
    <t>2910</t>
  </si>
  <si>
    <t>Szkoły zawodowe</t>
  </si>
  <si>
    <t>0870</t>
  </si>
  <si>
    <t>Wpływy ze sprzedaży składników majątkowych</t>
  </si>
  <si>
    <t>Stołówki szkolne</t>
  </si>
  <si>
    <t>Pozostała działalność</t>
  </si>
  <si>
    <t>Ochrona zdrowia</t>
  </si>
  <si>
    <t>Pomoc społeczna</t>
  </si>
  <si>
    <t>Placówki opiekuńczo wychowawcze</t>
  </si>
  <si>
    <t xml:space="preserve"> Domy pomocy społecznej</t>
  </si>
  <si>
    <t>Ośrodki wsparcia</t>
  </si>
  <si>
    <t>Rodziny zastępcze</t>
  </si>
  <si>
    <t>Powiatowe centra pomocy rodzinie</t>
  </si>
  <si>
    <t xml:space="preserve"> Zespoły ds. orzekania o niepełnosprawności</t>
  </si>
  <si>
    <t>Fundusz Pracy</t>
  </si>
  <si>
    <t>2690</t>
  </si>
  <si>
    <t>Wpływy z pozostałych dochodów</t>
  </si>
  <si>
    <t xml:space="preserve"> Powiatowe urzędy pracy</t>
  </si>
  <si>
    <t>Edukacyjna opieka wychowawcza</t>
  </si>
  <si>
    <t xml:space="preserve">Poradnie psychologiczno - pedagogiczne </t>
  </si>
  <si>
    <t xml:space="preserve"> Placówki wychowania pozaszkolnego</t>
  </si>
  <si>
    <t xml:space="preserve"> Internaty i bursy szkolne</t>
  </si>
  <si>
    <t xml:space="preserve"> Szkolne schroniska młodzieżowe</t>
  </si>
  <si>
    <t>Gospodarka komunalna i ochrona środowiska</t>
  </si>
  <si>
    <t>Wpływy i wydatki zwąza. z gromadz. środków z opłat i kar za korzyst. ze środ.</t>
  </si>
  <si>
    <t>RAZEM  DOCHODY</t>
  </si>
  <si>
    <t>Dochody wykonane</t>
  </si>
  <si>
    <t>Inne formy kształcenia osobno niewymienione</t>
  </si>
  <si>
    <t>Relacja %</t>
  </si>
  <si>
    <t>bieżące</t>
  </si>
  <si>
    <t>w tym:</t>
  </si>
  <si>
    <t>Dotacje i środki na finans.wyd. na realiz. zad. z udz. śr. art. 5 ust. 1 pkt. 2 i 3</t>
  </si>
  <si>
    <t>Doch.zw.ze szczególnymi zasadami wykonania budżetu jednostki wynikające z odrębnych ustaw</t>
  </si>
  <si>
    <t>Doch.związane z realiz.zadań z zakresu adm.rządowej i innych zleconych j.s.t. odrębnymi ustawami</t>
  </si>
  <si>
    <t>Dochody związane z realiz. zadań w drodze umów lub porozumień między j.s.t.</t>
  </si>
  <si>
    <t>Dochody</t>
  </si>
  <si>
    <t>majątkowe</t>
  </si>
  <si>
    <t>Doch.związane z realiz.zadań wykonyw.na mocy porozumień z organami adm.rządowej</t>
  </si>
  <si>
    <t>Doch.związane z realiz. zadań wykonyw.na podst.porozumień z organami adm.rządowej</t>
  </si>
  <si>
    <t>PRZYCHODY</t>
  </si>
  <si>
    <t>RAZEM DOCHODY I PRZYCHODY</t>
  </si>
  <si>
    <t>Przychody z zaciągnętych pożyczek i kredytów</t>
  </si>
  <si>
    <t>Plan po zmianach</t>
  </si>
  <si>
    <t>6260</t>
  </si>
  <si>
    <t>0680</t>
  </si>
  <si>
    <t>2001</t>
  </si>
  <si>
    <t>0910</t>
  </si>
  <si>
    <t>Dotacje celowe w ramach programów finansowanych (…)</t>
  </si>
  <si>
    <t>Dotacje otrzymane z państwowych funduszy celowych na finansowanie (…)</t>
  </si>
  <si>
    <t>Szpitale ogólne</t>
  </si>
  <si>
    <t>Odsetki od nieterminowych wpłat (…)</t>
  </si>
  <si>
    <t>Wolne środki, o których mowa w art. 217 ust. 2 pkt 6 ustawy</t>
  </si>
  <si>
    <t>Dotacja celowa otrzymana z tytułu pomocy finansowej (…)</t>
  </si>
  <si>
    <t>Dotacja celowa otrzymana (…)</t>
  </si>
  <si>
    <t>010</t>
  </si>
  <si>
    <t>6430</t>
  </si>
  <si>
    <t>2760</t>
  </si>
  <si>
    <t xml:space="preserve">Środki na uzupełnienie dochcodów powiatów w paragrafie tym ujmuje się środki, o których mowa w art..36 ust. 4 ptk.1 ustawy z dnia 13 listopada 2003 r. o dochodach jednostek samorządu terytorialnego </t>
  </si>
  <si>
    <t xml:space="preserve">Uzupełnienie subwencji ogólnej dla jednostek samorządu terytorialnego </t>
  </si>
  <si>
    <t xml:space="preserve">Dotacje celowe otrzymane z budżetu państwa na zadania bieżące z zakresu administracji rządowej oraz inne zadania zlecone ustawami realizowane przez powiat </t>
  </si>
  <si>
    <t>Wpływy ze zwrotów dotacji oraz płatności(…)</t>
  </si>
  <si>
    <t>0770</t>
  </si>
  <si>
    <t>Wpływy z tytułu odpłatnego nabycia prawa własności (…)</t>
  </si>
  <si>
    <t>6630</t>
  </si>
  <si>
    <t>2329</t>
  </si>
  <si>
    <t>2719</t>
  </si>
  <si>
    <t>Kultura fizyczna</t>
  </si>
  <si>
    <t>01095</t>
  </si>
  <si>
    <t>020</t>
  </si>
  <si>
    <t>050</t>
  </si>
  <si>
    <t>05095</t>
  </si>
  <si>
    <t xml:space="preserve">Składki na ubezpiecz. zdrow. oraz świadczenia dla </t>
  </si>
  <si>
    <t>Nadzór budowlany</t>
  </si>
  <si>
    <t>Gospodarka gruntami i nieruchomościami</t>
  </si>
  <si>
    <t>Dochody j.s.t. z realizacji zadań administracji rządowej</t>
  </si>
  <si>
    <t>Dotacje celowe otrzymane z budżetu państwa na realizację (…)</t>
  </si>
  <si>
    <t>Dotacje celowe otrzymane z budżetu państwa (…)</t>
  </si>
  <si>
    <t>Starostwa powiatowe</t>
  </si>
  <si>
    <t>Urzędy wojewódzkie</t>
  </si>
  <si>
    <t>Komendy powiatowe Państwowej Straży Pożarnej</t>
  </si>
  <si>
    <t>Dochody j.s.t. związane z realizacją zadań z zakresu administracji</t>
  </si>
  <si>
    <t>Dotacje otrzymane z państwowych funduszy celowych (…)</t>
  </si>
  <si>
    <t>Udziały powiatów w podatkach stanowiacych doch. Budż. Państwa</t>
  </si>
  <si>
    <t>Dochody od osób prawnych (…)</t>
  </si>
  <si>
    <t>Część oświatowa subwencji ogólnej dla j.s.t.</t>
  </si>
  <si>
    <t>Część wyrównawcza subwencji ogólnej dla powiatów</t>
  </si>
  <si>
    <t>Przedszkola specjalne</t>
  </si>
  <si>
    <t>Dotacje celowe otrzymane z budżetu (…)</t>
  </si>
  <si>
    <t>Dotacje celowe otrzymane z powiatu (…)</t>
  </si>
  <si>
    <t xml:space="preserve">Pozostałe odsetki </t>
  </si>
  <si>
    <t>Środki na Fundusz Pracy otrzymane przez powiat</t>
  </si>
  <si>
    <t>Państwowy Fundusz Rehabilitacji Osób Niepełnosprawnych</t>
  </si>
  <si>
    <t>Pozostałe zadania w zakresie polityki społecznej</t>
  </si>
  <si>
    <t>Wpływy od rodziców z tytułu opłaty za pobyt dziecka w pieczy zastępczej</t>
  </si>
  <si>
    <t>Gimnazja</t>
  </si>
  <si>
    <t>Gimnazja specjalne</t>
  </si>
  <si>
    <t>Zadania w zakresie przeciwdziałania przemocy w rodzinie</t>
  </si>
  <si>
    <t>2057</t>
  </si>
  <si>
    <t>0650</t>
  </si>
  <si>
    <t>2051</t>
  </si>
  <si>
    <t>2059</t>
  </si>
  <si>
    <t>6257</t>
  </si>
  <si>
    <t>6259</t>
  </si>
  <si>
    <t>2160</t>
  </si>
  <si>
    <t>Wpływy z pozostałych odsetek</t>
  </si>
  <si>
    <t>Wpływy z opłat za wydanie prawa jazdy</t>
  </si>
  <si>
    <t>Zarządzanie kryzysowe</t>
  </si>
  <si>
    <t>Wymiar sprawiedliwości</t>
  </si>
  <si>
    <t>Nieodpłatna pomoc prawna</t>
  </si>
  <si>
    <t>Wpływy z otrzymanych spadków, zapisów i darowizn w postaci pieniężnej</t>
  </si>
  <si>
    <t>Realizacja zadań wymagających stosowania specjalnej (…)</t>
  </si>
  <si>
    <t>Kwalifikacyjne kursy zawodowe</t>
  </si>
  <si>
    <t>Wpływy z odsetek od nieterminowych wpłat (…)</t>
  </si>
  <si>
    <t>Wpływy z najmu i dzierżawy składników majątkowych (…)</t>
  </si>
  <si>
    <t>Ośrodki dokumentacji geodezyjnej (…)</t>
  </si>
  <si>
    <t>01005</t>
  </si>
  <si>
    <t>Prace geodezyjno- urządzeniowe na potrzeby rolnictwa</t>
  </si>
  <si>
    <t>6309</t>
  </si>
  <si>
    <t>6629</t>
  </si>
  <si>
    <t>Turystyka</t>
  </si>
  <si>
    <t>Zadania w zakresie upowszechniania turystyki</t>
  </si>
  <si>
    <t>0640</t>
  </si>
  <si>
    <t>Wpływy z tytułu kosztów egzekucyjnych, opłaty komorniczej i kosztów upomnień</t>
  </si>
  <si>
    <t>2950</t>
  </si>
  <si>
    <t>Wpływy ze zwrotów niewykorzystanych dotacji oraz płatności</t>
  </si>
  <si>
    <t>2330</t>
  </si>
  <si>
    <t>Dotacje celowe otrzymane od samorządu województwa na zadania bieżące realizowane na podstawie porozumień (umów) między jednostkami samorządu terytorialnego</t>
  </si>
  <si>
    <t>Otrzymane spadki, zapisy i darowizny w postaci pieniężnej</t>
  </si>
  <si>
    <t>0610</t>
  </si>
  <si>
    <t>Wpływy z opłat egzaminacyjnych (…)</t>
  </si>
  <si>
    <t>Rodzina</t>
  </si>
  <si>
    <t>Wpływy z rożnych opłat</t>
  </si>
  <si>
    <t>Działalność placówek opiekuńczo- wychowawczych</t>
  </si>
  <si>
    <t>Dochody jednostek samorządu terytorialnego (…)</t>
  </si>
  <si>
    <t>REALIZACJA DOCHODÓW I PRZYCHODÓW BUDŻETU POWIATU ZA I PÓŁROCZE 2018 ROKU</t>
  </si>
  <si>
    <t>6269</t>
  </si>
  <si>
    <t>Ochrona narodowa</t>
  </si>
  <si>
    <t>Pozaostałe wydatki obronne</t>
  </si>
  <si>
    <t>Ratownictwo medyczne</t>
  </si>
  <si>
    <t>Dot. cel. z budżetu państwa na inwestycje</t>
  </si>
  <si>
    <t>2449</t>
  </si>
  <si>
    <t>Dotacje otrzymane z państwowych funduszy celowych na real.zad.bieżących</t>
  </si>
  <si>
    <t>Dotacje otrzymane z państwowych funduszy celowych na finansowanie lub dofinansowanie kosztów realizacji i zakupów inwestycyjnych jednostek sektora finansów publicznych</t>
  </si>
  <si>
    <t>6680</t>
  </si>
  <si>
    <t>Wpłata środków finansowych z niewykorzystanych w terminie ydatków, które nie wygasają z upływem roku budżetowego</t>
  </si>
  <si>
    <t>Szkoły policealne</t>
  </si>
  <si>
    <t>0620</t>
  </si>
  <si>
    <t>Wpływy z opłat za zezwolenia, akredytacje oraz opłaty ewidencyjne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</si>
</sst>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#,##0_ ;[Red]\-#,##0,"/>
    <numFmt numFmtId="165" formatCode="#,##0.00_ ;[Red]\-#,##0.00,"/>
    <numFmt numFmtId="166" formatCode="#,##0&quot; F&quot;_);[Red]\(#,##0&quot; F)&quot;"/>
    <numFmt numFmtId="167" formatCode="#,##0.00&quot; F&quot;_);[Red]\(#,##0.00&quot; F)&quot;"/>
    <numFmt numFmtId="168" formatCode="0.0%"/>
  </numFmts>
  <fonts count="40">
    <font>
      <sz val="10"/>
      <name val="Arial"/>
      <family val="2"/>
      <charset val="238"/>
    </font>
    <font>
      <sz val="10"/>
      <name val="Arial"/>
      <family val="2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0"/>
      <name val="Arial CE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i/>
      <sz val="10"/>
      <name val="Arial"/>
      <family val="2"/>
      <charset val="238"/>
    </font>
    <font>
      <b/>
      <i/>
      <sz val="8"/>
      <name val="Arial CE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 CE"/>
      <charset val="238"/>
    </font>
    <font>
      <b/>
      <sz val="8"/>
      <name val="Arial CE"/>
      <charset val="238"/>
    </font>
    <font>
      <sz val="7"/>
      <name val="Arial CE"/>
      <family val="2"/>
      <charset val="238"/>
    </font>
    <font>
      <sz val="6"/>
      <name val="Arial CE"/>
      <family val="2"/>
      <charset val="238"/>
    </font>
    <font>
      <sz val="6"/>
      <name val="Arial"/>
      <family val="2"/>
      <charset val="238"/>
    </font>
    <font>
      <b/>
      <sz val="8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8"/>
      <name val="Arial CE"/>
      <charset val="238"/>
    </font>
    <font>
      <b/>
      <sz val="11"/>
      <name val="Arial"/>
      <family val="2"/>
      <charset val="238"/>
    </font>
    <font>
      <b/>
      <i/>
      <sz val="8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rgb="FFFF0000"/>
      <name val="Arial CE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49"/>
      </patternFill>
    </fill>
    <fill>
      <patternFill patternType="solid">
        <fgColor theme="3" tint="0.79998168889431442"/>
        <bgColor indexed="49"/>
      </patternFill>
    </fill>
    <fill>
      <patternFill patternType="solid">
        <fgColor theme="3" tint="0.39997558519241921"/>
        <bgColor indexed="49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  <bgColor indexed="49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7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27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164" fontId="4" fillId="0" borderId="0" applyFill="0" applyBorder="0" applyAlignment="0" applyProtection="0"/>
    <xf numFmtId="165" fontId="4" fillId="0" borderId="0" applyFill="0" applyBorder="0" applyAlignment="0" applyProtection="0"/>
    <xf numFmtId="166" fontId="4" fillId="0" borderId="0" applyFill="0" applyBorder="0" applyAlignment="0" applyProtection="0"/>
    <xf numFmtId="167" fontId="4" fillId="0" borderId="0" applyFill="0" applyBorder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21" borderId="4" applyNumberFormat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27" fillId="0" borderId="0"/>
    <xf numFmtId="0" fontId="27" fillId="0" borderId="0"/>
    <xf numFmtId="0" fontId="4" fillId="0" borderId="0"/>
    <xf numFmtId="0" fontId="14" fillId="20" borderId="1" applyNumberFormat="0" applyAlignment="0" applyProtection="0"/>
    <xf numFmtId="0" fontId="15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7" fillId="23" borderId="9" applyNumberFormat="0" applyAlignment="0" applyProtection="0"/>
    <xf numFmtId="0" fontId="19" fillId="3" borderId="0" applyNumberFormat="0" applyBorder="0" applyAlignment="0" applyProtection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</cellStyleXfs>
  <cellXfs count="301">
    <xf numFmtId="0" fontId="0" fillId="0" borderId="0" xfId="0"/>
    <xf numFmtId="0" fontId="20" fillId="0" borderId="0" xfId="0" applyFont="1"/>
    <xf numFmtId="0" fontId="24" fillId="0" borderId="0" xfId="0" applyFont="1"/>
    <xf numFmtId="4" fontId="0" fillId="0" borderId="0" xfId="0" applyNumberFormat="1"/>
    <xf numFmtId="0" fontId="0" fillId="0" borderId="12" xfId="0" applyBorder="1"/>
    <xf numFmtId="0" fontId="20" fillId="25" borderId="0" xfId="0" applyFont="1" applyFill="1"/>
    <xf numFmtId="0" fontId="34" fillId="26" borderId="0" xfId="0" applyFont="1" applyFill="1"/>
    <xf numFmtId="4" fontId="26" fillId="24" borderId="12" xfId="0" applyNumberFormat="1" applyFont="1" applyFill="1" applyBorder="1"/>
    <xf numFmtId="0" fontId="33" fillId="0" borderId="16" xfId="0" applyFont="1" applyBorder="1" applyAlignment="1">
      <alignment horizontal="center" vertical="center" wrapText="1"/>
    </xf>
    <xf numFmtId="0" fontId="20" fillId="27" borderId="0" xfId="0" applyFont="1" applyFill="1"/>
    <xf numFmtId="10" fontId="0" fillId="0" borderId="0" xfId="0" applyNumberFormat="1"/>
    <xf numFmtId="10" fontId="0" fillId="0" borderId="12" xfId="0" applyNumberFormat="1" applyBorder="1"/>
    <xf numFmtId="10" fontId="33" fillId="0" borderId="16" xfId="0" applyNumberFormat="1" applyFont="1" applyBorder="1" applyAlignment="1">
      <alignment horizontal="center" vertical="center" wrapText="1"/>
    </xf>
    <xf numFmtId="4" fontId="0" fillId="0" borderId="12" xfId="0" applyNumberFormat="1" applyBorder="1"/>
    <xf numFmtId="4" fontId="30" fillId="0" borderId="17" xfId="0" applyNumberFormat="1" applyFont="1" applyBorder="1" applyAlignment="1">
      <alignment vertical="top" wrapText="1"/>
    </xf>
    <xf numFmtId="4" fontId="0" fillId="0" borderId="0" xfId="0" applyNumberFormat="1" applyBorder="1"/>
    <xf numFmtId="4" fontId="31" fillId="0" borderId="17" xfId="0" applyNumberFormat="1" applyFont="1" applyBorder="1" applyAlignment="1">
      <alignment horizontal="left" vertical="top" wrapText="1"/>
    </xf>
    <xf numFmtId="4" fontId="31" fillId="0" borderId="14" xfId="0" applyNumberFormat="1" applyFont="1" applyBorder="1" applyAlignment="1">
      <alignment vertical="top" wrapText="1"/>
    </xf>
    <xf numFmtId="4" fontId="0" fillId="0" borderId="11" xfId="0" applyNumberFormat="1" applyBorder="1"/>
    <xf numFmtId="4" fontId="0" fillId="0" borderId="13" xfId="0" applyNumberFormat="1" applyBorder="1"/>
    <xf numFmtId="4" fontId="32" fillId="0" borderId="18" xfId="0" applyNumberFormat="1" applyFont="1" applyBorder="1" applyAlignment="1">
      <alignment vertical="top" wrapText="1"/>
    </xf>
    <xf numFmtId="4" fontId="31" fillId="0" borderId="17" xfId="0" applyNumberFormat="1" applyFont="1" applyBorder="1" applyAlignment="1">
      <alignment vertical="top" wrapText="1"/>
    </xf>
    <xf numFmtId="4" fontId="31" fillId="0" borderId="14" xfId="0" applyNumberFormat="1" applyFont="1" applyBorder="1" applyAlignment="1">
      <alignment horizontal="left" vertical="top" wrapText="1"/>
    </xf>
    <xf numFmtId="0" fontId="0" fillId="26" borderId="0" xfId="0" applyFill="1"/>
    <xf numFmtId="3" fontId="23" fillId="0" borderId="21" xfId="51" applyNumberFormat="1" applyFont="1" applyBorder="1" applyAlignment="1">
      <alignment horizontal="center" vertical="center"/>
    </xf>
    <xf numFmtId="3" fontId="0" fillId="0" borderId="0" xfId="0" applyNumberFormat="1"/>
    <xf numFmtId="3" fontId="0" fillId="0" borderId="10" xfId="0" applyNumberFormat="1" applyBorder="1"/>
    <xf numFmtId="3" fontId="0" fillId="0" borderId="15" xfId="0" applyNumberFormat="1" applyBorder="1"/>
    <xf numFmtId="3" fontId="23" fillId="0" borderId="21" xfId="51" applyNumberFormat="1" applyFont="1" applyFill="1" applyBorder="1" applyAlignment="1">
      <alignment horizontal="center" vertical="center"/>
    </xf>
    <xf numFmtId="4" fontId="33" fillId="0" borderId="16" xfId="0" applyNumberFormat="1" applyFont="1" applyBorder="1" applyAlignment="1">
      <alignment wrapText="1"/>
    </xf>
    <xf numFmtId="3" fontId="23" fillId="0" borderId="21" xfId="51" applyNumberFormat="1" applyFont="1" applyBorder="1" applyAlignment="1">
      <alignment horizontal="center" vertical="center" wrapText="1"/>
    </xf>
    <xf numFmtId="3" fontId="23" fillId="0" borderId="12" xfId="51" applyNumberFormat="1" applyFont="1" applyFill="1" applyBorder="1" applyAlignment="1">
      <alignment horizontal="center" vertical="center"/>
    </xf>
    <xf numFmtId="0" fontId="29" fillId="31" borderId="24" xfId="43" quotePrefix="1" applyFont="1" applyFill="1" applyBorder="1" applyAlignment="1">
      <alignment horizontal="right"/>
    </xf>
    <xf numFmtId="0" fontId="35" fillId="33" borderId="25" xfId="43" applyFont="1" applyFill="1" applyBorder="1" applyAlignment="1">
      <alignment horizontal="right"/>
    </xf>
    <xf numFmtId="0" fontId="22" fillId="27" borderId="25" xfId="43" applyFont="1" applyFill="1" applyBorder="1" applyAlignment="1">
      <alignment horizontal="right"/>
    </xf>
    <xf numFmtId="0" fontId="29" fillId="31" borderId="25" xfId="43" quotePrefix="1" applyFont="1" applyFill="1" applyBorder="1" applyAlignment="1">
      <alignment horizontal="right"/>
    </xf>
    <xf numFmtId="0" fontId="29" fillId="31" borderId="25" xfId="43" applyFont="1" applyFill="1" applyBorder="1" applyAlignment="1">
      <alignment horizontal="right"/>
    </xf>
    <xf numFmtId="0" fontId="35" fillId="34" borderId="25" xfId="43" applyFont="1" applyFill="1" applyBorder="1" applyAlignment="1">
      <alignment horizontal="right"/>
    </xf>
    <xf numFmtId="0" fontId="29" fillId="32" borderId="25" xfId="43" applyFont="1" applyFill="1" applyBorder="1" applyAlignment="1">
      <alignment horizontal="right"/>
    </xf>
    <xf numFmtId="0" fontId="25" fillId="33" borderId="25" xfId="43" applyFont="1" applyFill="1" applyBorder="1" applyAlignment="1">
      <alignment horizontal="right"/>
    </xf>
    <xf numFmtId="0" fontId="28" fillId="27" borderId="25" xfId="43" applyFont="1" applyFill="1" applyBorder="1" applyAlignment="1">
      <alignment horizontal="right"/>
    </xf>
    <xf numFmtId="0" fontId="22" fillId="27" borderId="25" xfId="43" quotePrefix="1" applyFont="1" applyFill="1" applyBorder="1" applyAlignment="1">
      <alignment horizontal="right"/>
    </xf>
    <xf numFmtId="0" fontId="35" fillId="30" borderId="25" xfId="43" applyFont="1" applyFill="1" applyBorder="1" applyAlignment="1">
      <alignment horizontal="right"/>
    </xf>
    <xf numFmtId="0" fontId="28" fillId="29" borderId="25" xfId="43" applyFont="1" applyFill="1" applyBorder="1" applyAlignment="1">
      <alignment horizontal="right"/>
    </xf>
    <xf numFmtId="0" fontId="22" fillId="28" borderId="25" xfId="43" applyFont="1" applyFill="1" applyBorder="1" applyAlignment="1">
      <alignment horizontal="right"/>
    </xf>
    <xf numFmtId="0" fontId="25" fillId="34" borderId="25" xfId="43" applyFont="1" applyFill="1" applyBorder="1" applyAlignment="1">
      <alignment horizontal="right"/>
    </xf>
    <xf numFmtId="0" fontId="26" fillId="27" borderId="25" xfId="0" applyFont="1" applyFill="1" applyBorder="1"/>
    <xf numFmtId="0" fontId="33" fillId="32" borderId="26" xfId="0" applyFont="1" applyFill="1" applyBorder="1"/>
    <xf numFmtId="4" fontId="29" fillId="31" borderId="27" xfId="43" applyNumberFormat="1" applyFont="1" applyFill="1" applyBorder="1" applyAlignment="1">
      <alignment horizontal="right"/>
    </xf>
    <xf numFmtId="4" fontId="35" fillId="33" borderId="28" xfId="43" applyNumberFormat="1" applyFont="1" applyFill="1" applyBorder="1" applyAlignment="1">
      <alignment horizontal="right"/>
    </xf>
    <xf numFmtId="4" fontId="26" fillId="27" borderId="28" xfId="0" applyNumberFormat="1" applyFont="1" applyFill="1" applyBorder="1"/>
    <xf numFmtId="4" fontId="29" fillId="31" borderId="28" xfId="43" applyNumberFormat="1" applyFont="1" applyFill="1" applyBorder="1" applyAlignment="1">
      <alignment horizontal="right"/>
    </xf>
    <xf numFmtId="4" fontId="29" fillId="31" borderId="28" xfId="43" applyNumberFormat="1" applyFont="1" applyFill="1" applyBorder="1"/>
    <xf numFmtId="4" fontId="35" fillId="33" borderId="28" xfId="43" applyNumberFormat="1" applyFont="1" applyFill="1" applyBorder="1"/>
    <xf numFmtId="4" fontId="35" fillId="34" borderId="28" xfId="43" applyNumberFormat="1" applyFont="1" applyFill="1" applyBorder="1" applyAlignment="1">
      <alignment horizontal="right"/>
    </xf>
    <xf numFmtId="4" fontId="28" fillId="27" borderId="28" xfId="43" applyNumberFormat="1" applyFont="1" applyFill="1" applyBorder="1" applyAlignment="1">
      <alignment horizontal="right"/>
    </xf>
    <xf numFmtId="4" fontId="35" fillId="30" borderId="28" xfId="43" applyNumberFormat="1" applyFont="1" applyFill="1" applyBorder="1" applyAlignment="1">
      <alignment horizontal="right"/>
    </xf>
    <xf numFmtId="4" fontId="25" fillId="33" borderId="28" xfId="43" applyNumberFormat="1" applyFont="1" applyFill="1" applyBorder="1" applyAlignment="1">
      <alignment horizontal="right"/>
    </xf>
    <xf numFmtId="4" fontId="35" fillId="30" borderId="28" xfId="43" applyNumberFormat="1" applyFont="1" applyFill="1" applyBorder="1"/>
    <xf numFmtId="4" fontId="28" fillId="29" borderId="28" xfId="43" applyNumberFormat="1" applyFont="1" applyFill="1" applyBorder="1"/>
    <xf numFmtId="4" fontId="35" fillId="33" borderId="28" xfId="43" applyNumberFormat="1" applyFont="1" applyFill="1" applyBorder="1" applyAlignment="1"/>
    <xf numFmtId="4" fontId="37" fillId="34" borderId="28" xfId="0" applyNumberFormat="1" applyFont="1" applyFill="1" applyBorder="1"/>
    <xf numFmtId="4" fontId="29" fillId="32" borderId="28" xfId="43" applyNumberFormat="1" applyFont="1" applyFill="1" applyBorder="1"/>
    <xf numFmtId="4" fontId="28" fillId="27" borderId="28" xfId="43" applyNumberFormat="1" applyFont="1" applyFill="1" applyBorder="1"/>
    <xf numFmtId="4" fontId="33" fillId="32" borderId="29" xfId="0" applyNumberFormat="1" applyFont="1" applyFill="1" applyBorder="1"/>
    <xf numFmtId="0" fontId="29" fillId="31" borderId="24" xfId="43" applyFont="1" applyFill="1" applyBorder="1" applyAlignment="1">
      <alignment horizontal="right"/>
    </xf>
    <xf numFmtId="0" fontId="35" fillId="33" borderId="25" xfId="43" quotePrefix="1" applyFont="1" applyFill="1" applyBorder="1" applyAlignment="1">
      <alignment horizontal="right"/>
    </xf>
    <xf numFmtId="49" fontId="35" fillId="33" borderId="25" xfId="43" applyNumberFormat="1" applyFont="1" applyFill="1" applyBorder="1" applyAlignment="1">
      <alignment horizontal="right"/>
    </xf>
    <xf numFmtId="49" fontId="22" fillId="27" borderId="25" xfId="43" applyNumberFormat="1" applyFont="1" applyFill="1" applyBorder="1" applyAlignment="1">
      <alignment horizontal="right"/>
    </xf>
    <xf numFmtId="0" fontId="29" fillId="31" borderId="24" xfId="43" applyFont="1" applyFill="1" applyBorder="1" applyAlignment="1">
      <alignment horizontal="left"/>
    </xf>
    <xf numFmtId="49" fontId="29" fillId="27" borderId="25" xfId="43" applyNumberFormat="1" applyFont="1" applyFill="1" applyBorder="1" applyAlignment="1">
      <alignment horizontal="right"/>
    </xf>
    <xf numFmtId="49" fontId="29" fillId="31" borderId="25" xfId="43" applyNumberFormat="1" applyFont="1" applyFill="1" applyBorder="1" applyAlignment="1">
      <alignment horizontal="right"/>
    </xf>
    <xf numFmtId="49" fontId="29" fillId="27" borderId="25" xfId="43" quotePrefix="1" applyNumberFormat="1" applyFont="1" applyFill="1" applyBorder="1" applyAlignment="1">
      <alignment horizontal="right"/>
    </xf>
    <xf numFmtId="49" fontId="35" fillId="34" borderId="25" xfId="43" applyNumberFormat="1" applyFont="1" applyFill="1" applyBorder="1" applyAlignment="1">
      <alignment horizontal="right"/>
    </xf>
    <xf numFmtId="49" fontId="29" fillId="32" borderId="25" xfId="43" applyNumberFormat="1" applyFont="1" applyFill="1" applyBorder="1" applyAlignment="1">
      <alignment horizontal="right"/>
    </xf>
    <xf numFmtId="49" fontId="35" fillId="30" borderId="25" xfId="43" applyNumberFormat="1" applyFont="1" applyFill="1" applyBorder="1" applyAlignment="1">
      <alignment horizontal="right"/>
    </xf>
    <xf numFmtId="49" fontId="29" fillId="28" borderId="25" xfId="43" applyNumberFormat="1" applyFont="1" applyFill="1" applyBorder="1" applyAlignment="1">
      <alignment horizontal="right"/>
    </xf>
    <xf numFmtId="0" fontId="33" fillId="27" borderId="25" xfId="0" applyFont="1" applyFill="1" applyBorder="1"/>
    <xf numFmtId="0" fontId="35" fillId="33" borderId="25" xfId="43" applyFont="1" applyFill="1" applyBorder="1" applyAlignment="1">
      <alignment horizontal="left"/>
    </xf>
    <xf numFmtId="0" fontId="22" fillId="27" borderId="25" xfId="43" applyFont="1" applyFill="1" applyBorder="1" applyAlignment="1">
      <alignment horizontal="left"/>
    </xf>
    <xf numFmtId="0" fontId="29" fillId="31" borderId="25" xfId="43" applyFont="1" applyFill="1" applyBorder="1" applyAlignment="1">
      <alignment horizontal="left"/>
    </xf>
    <xf numFmtId="0" fontId="29" fillId="31" borderId="25" xfId="43" applyFont="1" applyFill="1" applyBorder="1" applyAlignment="1"/>
    <xf numFmtId="0" fontId="22" fillId="27" borderId="25" xfId="43" applyFont="1" applyFill="1" applyBorder="1" applyAlignment="1"/>
    <xf numFmtId="0" fontId="35" fillId="34" borderId="25" xfId="43" applyFont="1" applyFill="1" applyBorder="1" applyAlignment="1">
      <alignment horizontal="left"/>
    </xf>
    <xf numFmtId="0" fontId="35" fillId="34" borderId="25" xfId="43" applyFont="1" applyFill="1" applyBorder="1" applyAlignment="1"/>
    <xf numFmtId="0" fontId="35" fillId="33" borderId="25" xfId="43" applyFont="1" applyFill="1" applyBorder="1" applyAlignment="1"/>
    <xf numFmtId="0" fontId="25" fillId="33" borderId="25" xfId="43" applyFont="1" applyFill="1" applyBorder="1" applyAlignment="1">
      <alignment horizontal="left"/>
    </xf>
    <xf numFmtId="0" fontId="25" fillId="33" borderId="25" xfId="43" applyFont="1" applyFill="1" applyBorder="1" applyAlignment="1"/>
    <xf numFmtId="0" fontId="28" fillId="27" borderId="25" xfId="43" applyFont="1" applyFill="1" applyBorder="1" applyAlignment="1"/>
    <xf numFmtId="0" fontId="28" fillId="27" borderId="25" xfId="43" applyFont="1" applyFill="1" applyBorder="1" applyAlignment="1">
      <alignment horizontal="left"/>
    </xf>
    <xf numFmtId="0" fontId="35" fillId="30" borderId="25" xfId="43" applyFont="1" applyFill="1" applyBorder="1" applyAlignment="1"/>
    <xf numFmtId="0" fontId="25" fillId="34" borderId="25" xfId="43" applyFont="1" applyFill="1" applyBorder="1" applyAlignment="1"/>
    <xf numFmtId="0" fontId="29" fillId="32" borderId="25" xfId="43" applyFont="1" applyFill="1" applyBorder="1" applyAlignment="1">
      <alignment horizontal="left"/>
    </xf>
    <xf numFmtId="4" fontId="33" fillId="32" borderId="26" xfId="0" applyNumberFormat="1" applyFont="1" applyFill="1" applyBorder="1"/>
    <xf numFmtId="3" fontId="29" fillId="31" borderId="24" xfId="43" applyNumberFormat="1" applyFont="1" applyFill="1" applyBorder="1" applyAlignment="1">
      <alignment horizontal="right"/>
    </xf>
    <xf numFmtId="3" fontId="35" fillId="30" borderId="25" xfId="43" applyNumberFormat="1" applyFont="1" applyFill="1" applyBorder="1" applyAlignment="1">
      <alignment horizontal="right"/>
    </xf>
    <xf numFmtId="3" fontId="28" fillId="29" borderId="25" xfId="43" applyNumberFormat="1" applyFont="1" applyFill="1" applyBorder="1" applyAlignment="1">
      <alignment horizontal="right"/>
    </xf>
    <xf numFmtId="3" fontId="29" fillId="31" borderId="25" xfId="43" applyNumberFormat="1" applyFont="1" applyFill="1" applyBorder="1" applyAlignment="1">
      <alignment horizontal="right"/>
    </xf>
    <xf numFmtId="4" fontId="29" fillId="31" borderId="24" xfId="43" applyNumberFormat="1" applyFont="1" applyFill="1" applyBorder="1" applyAlignment="1">
      <alignment horizontal="right"/>
    </xf>
    <xf numFmtId="4" fontId="35" fillId="30" borderId="25" xfId="43" applyNumberFormat="1" applyFont="1" applyFill="1" applyBorder="1" applyAlignment="1">
      <alignment horizontal="right"/>
    </xf>
    <xf numFmtId="4" fontId="28" fillId="29" borderId="25" xfId="43" applyNumberFormat="1" applyFont="1" applyFill="1" applyBorder="1" applyAlignment="1">
      <alignment horizontal="right"/>
    </xf>
    <xf numFmtId="4" fontId="29" fillId="31" borderId="25" xfId="43" applyNumberFormat="1" applyFont="1" applyFill="1" applyBorder="1" applyAlignment="1">
      <alignment horizontal="right"/>
    </xf>
    <xf numFmtId="4" fontId="29" fillId="31" borderId="26" xfId="43" applyNumberFormat="1" applyFont="1" applyFill="1" applyBorder="1" applyAlignment="1">
      <alignment horizontal="right"/>
    </xf>
    <xf numFmtId="168" fontId="29" fillId="31" borderId="24" xfId="43" applyNumberFormat="1" applyFont="1" applyFill="1" applyBorder="1" applyAlignment="1">
      <alignment horizontal="right"/>
    </xf>
    <xf numFmtId="168" fontId="35" fillId="30" borderId="25" xfId="43" applyNumberFormat="1" applyFont="1" applyFill="1" applyBorder="1" applyAlignment="1">
      <alignment horizontal="right"/>
    </xf>
    <xf numFmtId="168" fontId="28" fillId="29" borderId="25" xfId="43" applyNumberFormat="1" applyFont="1" applyFill="1" applyBorder="1" applyAlignment="1">
      <alignment horizontal="right"/>
    </xf>
    <xf numFmtId="168" fontId="29" fillId="31" borderId="25" xfId="43" applyNumberFormat="1" applyFont="1" applyFill="1" applyBorder="1" applyAlignment="1">
      <alignment horizontal="right"/>
    </xf>
    <xf numFmtId="168" fontId="29" fillId="31" borderId="26" xfId="43" applyNumberFormat="1" applyFont="1" applyFill="1" applyBorder="1" applyAlignment="1">
      <alignment horizontal="right"/>
    </xf>
    <xf numFmtId="3" fontId="35" fillId="33" borderId="25" xfId="43" applyNumberFormat="1" applyFont="1" applyFill="1" applyBorder="1" applyAlignment="1">
      <alignment horizontal="right"/>
    </xf>
    <xf numFmtId="3" fontId="28" fillId="27" borderId="25" xfId="43" applyNumberFormat="1" applyFont="1" applyFill="1" applyBorder="1" applyAlignment="1">
      <alignment horizontal="right"/>
    </xf>
    <xf numFmtId="3" fontId="29" fillId="31" borderId="25" xfId="43" applyNumberFormat="1" applyFont="1" applyFill="1" applyBorder="1"/>
    <xf numFmtId="3" fontId="35" fillId="33" borderId="25" xfId="43" applyNumberFormat="1" applyFont="1" applyFill="1" applyBorder="1"/>
    <xf numFmtId="3" fontId="26" fillId="27" borderId="25" xfId="0" applyNumberFormat="1" applyFont="1" applyFill="1" applyBorder="1"/>
    <xf numFmtId="3" fontId="28" fillId="27" borderId="25" xfId="43" applyNumberFormat="1" applyFont="1" applyFill="1" applyBorder="1"/>
    <xf numFmtId="3" fontId="22" fillId="27" borderId="25" xfId="43" applyNumberFormat="1" applyFont="1" applyFill="1" applyBorder="1"/>
    <xf numFmtId="3" fontId="22" fillId="27" borderId="25" xfId="43" applyNumberFormat="1" applyFont="1" applyFill="1" applyBorder="1" applyAlignment="1">
      <alignment horizontal="right"/>
    </xf>
    <xf numFmtId="3" fontId="35" fillId="34" borderId="25" xfId="43" applyNumberFormat="1" applyFont="1" applyFill="1" applyBorder="1" applyAlignment="1">
      <alignment horizontal="right"/>
    </xf>
    <xf numFmtId="3" fontId="25" fillId="33" borderId="25" xfId="43" applyNumberFormat="1" applyFont="1" applyFill="1" applyBorder="1" applyAlignment="1">
      <alignment horizontal="right"/>
    </xf>
    <xf numFmtId="3" fontId="35" fillId="30" borderId="25" xfId="43" applyNumberFormat="1" applyFont="1" applyFill="1" applyBorder="1"/>
    <xf numFmtId="3" fontId="28" fillId="29" borderId="25" xfId="43" applyNumberFormat="1" applyFont="1" applyFill="1" applyBorder="1"/>
    <xf numFmtId="3" fontId="28" fillId="28" borderId="25" xfId="43" applyNumberFormat="1" applyFont="1" applyFill="1" applyBorder="1"/>
    <xf numFmtId="3" fontId="35" fillId="33" borderId="25" xfId="43" applyNumberFormat="1" applyFont="1" applyFill="1" applyBorder="1" applyAlignment="1"/>
    <xf numFmtId="3" fontId="28" fillId="27" borderId="25" xfId="43" applyNumberFormat="1" applyFont="1" applyFill="1" applyBorder="1" applyAlignment="1"/>
    <xf numFmtId="3" fontId="29" fillId="32" borderId="25" xfId="43" applyNumberFormat="1" applyFont="1" applyFill="1" applyBorder="1"/>
    <xf numFmtId="3" fontId="33" fillId="32" borderId="26" xfId="0" applyNumberFormat="1" applyFont="1" applyFill="1" applyBorder="1"/>
    <xf numFmtId="3" fontId="29" fillId="31" borderId="27" xfId="43" applyNumberFormat="1" applyFont="1" applyFill="1" applyBorder="1" applyAlignment="1">
      <alignment horizontal="right"/>
    </xf>
    <xf numFmtId="3" fontId="35" fillId="33" borderId="28" xfId="43" applyNumberFormat="1" applyFont="1" applyFill="1" applyBorder="1" applyAlignment="1">
      <alignment horizontal="right"/>
    </xf>
    <xf numFmtId="3" fontId="26" fillId="27" borderId="28" xfId="0" applyNumberFormat="1" applyFont="1" applyFill="1" applyBorder="1"/>
    <xf numFmtId="3" fontId="29" fillId="31" borderId="28" xfId="43" applyNumberFormat="1" applyFont="1" applyFill="1" applyBorder="1" applyAlignment="1">
      <alignment horizontal="right"/>
    </xf>
    <xf numFmtId="3" fontId="29" fillId="31" borderId="28" xfId="43" applyNumberFormat="1" applyFont="1" applyFill="1" applyBorder="1"/>
    <xf numFmtId="3" fontId="35" fillId="33" borderId="28" xfId="43" applyNumberFormat="1" applyFont="1" applyFill="1" applyBorder="1"/>
    <xf numFmtId="3" fontId="22" fillId="27" borderId="28" xfId="43" applyNumberFormat="1" applyFont="1" applyFill="1" applyBorder="1"/>
    <xf numFmtId="3" fontId="22" fillId="27" borderId="28" xfId="43" applyNumberFormat="1" applyFont="1" applyFill="1" applyBorder="1" applyAlignment="1">
      <alignment horizontal="right"/>
    </xf>
    <xf numFmtId="3" fontId="35" fillId="34" borderId="28" xfId="43" applyNumberFormat="1" applyFont="1" applyFill="1" applyBorder="1" applyAlignment="1">
      <alignment horizontal="right"/>
    </xf>
    <xf numFmtId="3" fontId="28" fillId="27" borderId="28" xfId="43" applyNumberFormat="1" applyFont="1" applyFill="1" applyBorder="1" applyAlignment="1">
      <alignment horizontal="right"/>
    </xf>
    <xf numFmtId="3" fontId="35" fillId="30" borderId="28" xfId="43" applyNumberFormat="1" applyFont="1" applyFill="1" applyBorder="1" applyAlignment="1">
      <alignment horizontal="right"/>
    </xf>
    <xf numFmtId="3" fontId="25" fillId="33" borderId="28" xfId="43" applyNumberFormat="1" applyFont="1" applyFill="1" applyBorder="1" applyAlignment="1">
      <alignment horizontal="right"/>
    </xf>
    <xf numFmtId="3" fontId="35" fillId="30" borderId="28" xfId="43" applyNumberFormat="1" applyFont="1" applyFill="1" applyBorder="1"/>
    <xf numFmtId="3" fontId="28" fillId="29" borderId="28" xfId="43" applyNumberFormat="1" applyFont="1" applyFill="1" applyBorder="1"/>
    <xf numFmtId="3" fontId="35" fillId="33" borderId="28" xfId="43" applyNumberFormat="1" applyFont="1" applyFill="1" applyBorder="1" applyAlignment="1"/>
    <xf numFmtId="3" fontId="37" fillId="34" borderId="28" xfId="0" applyNumberFormat="1" applyFont="1" applyFill="1" applyBorder="1"/>
    <xf numFmtId="3" fontId="29" fillId="32" borderId="28" xfId="43" applyNumberFormat="1" applyFont="1" applyFill="1" applyBorder="1"/>
    <xf numFmtId="3" fontId="33" fillId="32" borderId="29" xfId="0" applyNumberFormat="1" applyFont="1" applyFill="1" applyBorder="1"/>
    <xf numFmtId="4" fontId="35" fillId="33" borderId="25" xfId="43" applyNumberFormat="1" applyFont="1" applyFill="1" applyBorder="1" applyAlignment="1">
      <alignment horizontal="right"/>
    </xf>
    <xf numFmtId="4" fontId="28" fillId="27" borderId="25" xfId="43" applyNumberFormat="1" applyFont="1" applyFill="1" applyBorder="1"/>
    <xf numFmtId="4" fontId="29" fillId="31" borderId="25" xfId="43" applyNumberFormat="1" applyFont="1" applyFill="1" applyBorder="1"/>
    <xf numFmtId="4" fontId="35" fillId="33" borderId="25" xfId="43" applyNumberFormat="1" applyFont="1" applyFill="1" applyBorder="1"/>
    <xf numFmtId="4" fontId="26" fillId="27" borderId="25" xfId="0" applyNumberFormat="1" applyFont="1" applyFill="1" applyBorder="1"/>
    <xf numFmtId="4" fontId="22" fillId="27" borderId="25" xfId="43" applyNumberFormat="1" applyFont="1" applyFill="1" applyBorder="1"/>
    <xf numFmtId="4" fontId="28" fillId="27" borderId="25" xfId="43" applyNumberFormat="1" applyFont="1" applyFill="1" applyBorder="1" applyAlignment="1">
      <alignment horizontal="right"/>
    </xf>
    <xf numFmtId="4" fontId="35" fillId="34" borderId="25" xfId="43" applyNumberFormat="1" applyFont="1" applyFill="1" applyBorder="1" applyAlignment="1">
      <alignment horizontal="right"/>
    </xf>
    <xf numFmtId="4" fontId="22" fillId="27" borderId="25" xfId="43" applyNumberFormat="1" applyFont="1" applyFill="1" applyBorder="1" applyAlignment="1">
      <alignment horizontal="right"/>
    </xf>
    <xf numFmtId="4" fontId="25" fillId="33" borderId="25" xfId="43" applyNumberFormat="1" applyFont="1" applyFill="1" applyBorder="1" applyAlignment="1">
      <alignment horizontal="right"/>
    </xf>
    <xf numFmtId="4" fontId="35" fillId="30" borderId="25" xfId="43" applyNumberFormat="1" applyFont="1" applyFill="1" applyBorder="1"/>
    <xf numFmtId="4" fontId="28" fillId="29" borderId="25" xfId="43" applyNumberFormat="1" applyFont="1" applyFill="1" applyBorder="1"/>
    <xf numFmtId="4" fontId="28" fillId="28" borderId="25" xfId="43" applyNumberFormat="1" applyFont="1" applyFill="1" applyBorder="1"/>
    <xf numFmtId="4" fontId="35" fillId="33" borderId="25" xfId="43" applyNumberFormat="1" applyFont="1" applyFill="1" applyBorder="1" applyAlignment="1"/>
    <xf numFmtId="4" fontId="28" fillId="27" borderId="25" xfId="43" applyNumberFormat="1" applyFont="1" applyFill="1" applyBorder="1" applyAlignment="1"/>
    <xf numFmtId="4" fontId="22" fillId="27" borderId="25" xfId="43" applyNumberFormat="1" applyFont="1" applyFill="1" applyBorder="1" applyAlignment="1"/>
    <xf numFmtId="4" fontId="25" fillId="34" borderId="25" xfId="43" applyNumberFormat="1" applyFont="1" applyFill="1" applyBorder="1" applyAlignment="1">
      <alignment horizontal="right"/>
    </xf>
    <xf numFmtId="4" fontId="29" fillId="32" borderId="25" xfId="43" applyNumberFormat="1" applyFont="1" applyFill="1" applyBorder="1"/>
    <xf numFmtId="4" fontId="37" fillId="34" borderId="25" xfId="0" applyNumberFormat="1" applyFont="1" applyFill="1" applyBorder="1"/>
    <xf numFmtId="4" fontId="29" fillId="31" borderId="30" xfId="43" applyNumberFormat="1" applyFont="1" applyFill="1" applyBorder="1" applyAlignment="1">
      <alignment horizontal="right"/>
    </xf>
    <xf numFmtId="4" fontId="35" fillId="33" borderId="31" xfId="43" applyNumberFormat="1" applyFont="1" applyFill="1" applyBorder="1" applyAlignment="1">
      <alignment horizontal="right"/>
    </xf>
    <xf numFmtId="4" fontId="26" fillId="27" borderId="31" xfId="0" applyNumberFormat="1" applyFont="1" applyFill="1" applyBorder="1"/>
    <xf numFmtId="4" fontId="29" fillId="31" borderId="31" xfId="43" applyNumberFormat="1" applyFont="1" applyFill="1" applyBorder="1" applyAlignment="1">
      <alignment horizontal="right"/>
    </xf>
    <xf numFmtId="4" fontId="29" fillId="31" borderId="31" xfId="43" applyNumberFormat="1" applyFont="1" applyFill="1" applyBorder="1"/>
    <xf numFmtId="4" fontId="28" fillId="27" borderId="31" xfId="43" applyNumberFormat="1" applyFont="1" applyFill="1" applyBorder="1"/>
    <xf numFmtId="4" fontId="35" fillId="33" borderId="31" xfId="43" applyNumberFormat="1" applyFont="1" applyFill="1" applyBorder="1"/>
    <xf numFmtId="4" fontId="35" fillId="34" borderId="31" xfId="43" applyNumberFormat="1" applyFont="1" applyFill="1" applyBorder="1" applyAlignment="1">
      <alignment horizontal="right"/>
    </xf>
    <xf numFmtId="4" fontId="28" fillId="27" borderId="31" xfId="43" applyNumberFormat="1" applyFont="1" applyFill="1" applyBorder="1" applyAlignment="1">
      <alignment horizontal="right"/>
    </xf>
    <xf numFmtId="4" fontId="35" fillId="30" borderId="31" xfId="43" applyNumberFormat="1" applyFont="1" applyFill="1" applyBorder="1" applyAlignment="1">
      <alignment horizontal="right"/>
    </xf>
    <xf numFmtId="4" fontId="25" fillId="33" borderId="31" xfId="43" applyNumberFormat="1" applyFont="1" applyFill="1" applyBorder="1" applyAlignment="1">
      <alignment horizontal="right"/>
    </xf>
    <xf numFmtId="4" fontId="35" fillId="30" borderId="31" xfId="43" applyNumberFormat="1" applyFont="1" applyFill="1" applyBorder="1"/>
    <xf numFmtId="4" fontId="28" fillId="29" borderId="31" xfId="43" applyNumberFormat="1" applyFont="1" applyFill="1" applyBorder="1"/>
    <xf numFmtId="4" fontId="28" fillId="28" borderId="31" xfId="43" applyNumberFormat="1" applyFont="1" applyFill="1" applyBorder="1"/>
    <xf numFmtId="4" fontId="27" fillId="27" borderId="31" xfId="0" applyNumberFormat="1" applyFont="1" applyFill="1" applyBorder="1"/>
    <xf numFmtId="4" fontId="35" fillId="33" borderId="31" xfId="43" applyNumberFormat="1" applyFont="1" applyFill="1" applyBorder="1" applyAlignment="1"/>
    <xf numFmtId="4" fontId="28" fillId="27" borderId="31" xfId="43" applyNumberFormat="1" applyFont="1" applyFill="1" applyBorder="1" applyAlignment="1"/>
    <xf numFmtId="4" fontId="37" fillId="34" borderId="31" xfId="0" applyNumberFormat="1" applyFont="1" applyFill="1" applyBorder="1"/>
    <xf numFmtId="4" fontId="29" fillId="32" borderId="31" xfId="43" applyNumberFormat="1" applyFont="1" applyFill="1" applyBorder="1"/>
    <xf numFmtId="4" fontId="33" fillId="32" borderId="32" xfId="0" applyNumberFormat="1" applyFont="1" applyFill="1" applyBorder="1"/>
    <xf numFmtId="0" fontId="29" fillId="31" borderId="33" xfId="43" applyFont="1" applyFill="1" applyBorder="1" applyAlignment="1">
      <alignment horizontal="right"/>
    </xf>
    <xf numFmtId="0" fontId="29" fillId="31" borderId="33" xfId="43" applyFont="1" applyFill="1" applyBorder="1" applyAlignment="1">
      <alignment horizontal="center"/>
    </xf>
    <xf numFmtId="3" fontId="29" fillId="31" borderId="33" xfId="43" applyNumberFormat="1" applyFont="1" applyFill="1" applyBorder="1" applyAlignment="1">
      <alignment horizontal="right"/>
    </xf>
    <xf numFmtId="4" fontId="29" fillId="31" borderId="33" xfId="43" applyNumberFormat="1" applyFont="1" applyFill="1" applyBorder="1" applyAlignment="1">
      <alignment horizontal="right"/>
    </xf>
    <xf numFmtId="168" fontId="29" fillId="31" borderId="33" xfId="43" applyNumberFormat="1" applyFont="1" applyFill="1" applyBorder="1" applyAlignment="1">
      <alignment horizontal="right"/>
    </xf>
    <xf numFmtId="4" fontId="29" fillId="31" borderId="34" xfId="43" applyNumberFormat="1" applyFont="1" applyFill="1" applyBorder="1" applyAlignment="1">
      <alignment horizontal="right"/>
    </xf>
    <xf numFmtId="4" fontId="29" fillId="31" borderId="35" xfId="43" applyNumberFormat="1" applyFont="1" applyFill="1" applyBorder="1" applyAlignment="1">
      <alignment horizontal="right"/>
    </xf>
    <xf numFmtId="0" fontId="33" fillId="34" borderId="24" xfId="0" applyFont="1" applyFill="1" applyBorder="1"/>
    <xf numFmtId="4" fontId="33" fillId="34" borderId="24" xfId="0" applyNumberFormat="1" applyFont="1" applyFill="1" applyBorder="1"/>
    <xf numFmtId="4" fontId="29" fillId="30" borderId="24" xfId="43" applyNumberFormat="1" applyFont="1" applyFill="1" applyBorder="1" applyAlignment="1">
      <alignment horizontal="right"/>
    </xf>
    <xf numFmtId="168" fontId="29" fillId="30" borderId="24" xfId="43" applyNumberFormat="1" applyFont="1" applyFill="1" applyBorder="1" applyAlignment="1">
      <alignment horizontal="right"/>
    </xf>
    <xf numFmtId="4" fontId="33" fillId="34" borderId="30" xfId="0" applyNumberFormat="1" applyFont="1" applyFill="1" applyBorder="1"/>
    <xf numFmtId="4" fontId="33" fillId="34" borderId="27" xfId="0" applyNumberFormat="1" applyFont="1" applyFill="1" applyBorder="1"/>
    <xf numFmtId="3" fontId="33" fillId="34" borderId="27" xfId="0" applyNumberFormat="1" applyFont="1" applyFill="1" applyBorder="1"/>
    <xf numFmtId="168" fontId="29" fillId="31" borderId="33" xfId="52" applyNumberFormat="1" applyFont="1" applyFill="1" applyBorder="1" applyAlignment="1">
      <alignment horizontal="right"/>
    </xf>
    <xf numFmtId="0" fontId="25" fillId="34" borderId="25" xfId="43" applyFont="1" applyFill="1" applyBorder="1" applyAlignment="1">
      <alignment horizontal="left"/>
    </xf>
    <xf numFmtId="3" fontId="37" fillId="34" borderId="25" xfId="0" applyNumberFormat="1" applyFont="1" applyFill="1" applyBorder="1"/>
    <xf numFmtId="49" fontId="29" fillId="28" borderId="25" xfId="43" quotePrefix="1" applyNumberFormat="1" applyFont="1" applyFill="1" applyBorder="1" applyAlignment="1">
      <alignment horizontal="right"/>
    </xf>
    <xf numFmtId="4" fontId="22" fillId="27" borderId="31" xfId="43" applyNumberFormat="1" applyFont="1" applyFill="1" applyBorder="1"/>
    <xf numFmtId="4" fontId="22" fillId="27" borderId="31" xfId="43" applyNumberFormat="1" applyFont="1" applyFill="1" applyBorder="1" applyAlignment="1">
      <alignment horizontal="right"/>
    </xf>
    <xf numFmtId="4" fontId="37" fillId="34" borderId="36" xfId="0" applyNumberFormat="1" applyFont="1" applyFill="1" applyBorder="1"/>
    <xf numFmtId="4" fontId="22" fillId="27" borderId="31" xfId="43" applyNumberFormat="1" applyFont="1" applyFill="1" applyBorder="1" applyAlignment="1"/>
    <xf numFmtId="49" fontId="29" fillId="29" borderId="25" xfId="43" applyNumberFormat="1" applyFont="1" applyFill="1" applyBorder="1" applyAlignment="1">
      <alignment horizontal="right"/>
    </xf>
    <xf numFmtId="0" fontId="29" fillId="30" borderId="25" xfId="43" applyFont="1" applyFill="1" applyBorder="1" applyAlignment="1">
      <alignment horizontal="right"/>
    </xf>
    <xf numFmtId="49" fontId="29" fillId="30" borderId="25" xfId="43" applyNumberFormat="1" applyFont="1" applyFill="1" applyBorder="1" applyAlignment="1">
      <alignment horizontal="right"/>
    </xf>
    <xf numFmtId="0" fontId="29" fillId="30" borderId="25" xfId="43" applyFont="1" applyFill="1" applyBorder="1" applyAlignment="1"/>
    <xf numFmtId="3" fontId="29" fillId="30" borderId="25" xfId="43" applyNumberFormat="1" applyFont="1" applyFill="1" applyBorder="1" applyAlignment="1">
      <alignment horizontal="right"/>
    </xf>
    <xf numFmtId="4" fontId="29" fillId="30" borderId="25" xfId="43" applyNumberFormat="1" applyFont="1" applyFill="1" applyBorder="1" applyAlignment="1">
      <alignment horizontal="right"/>
    </xf>
    <xf numFmtId="168" fontId="29" fillId="30" borderId="25" xfId="43" applyNumberFormat="1" applyFont="1" applyFill="1" applyBorder="1" applyAlignment="1">
      <alignment horizontal="right"/>
    </xf>
    <xf numFmtId="4" fontId="29" fillId="30" borderId="31" xfId="43" applyNumberFormat="1" applyFont="1" applyFill="1" applyBorder="1" applyAlignment="1">
      <alignment horizontal="right"/>
    </xf>
    <xf numFmtId="4" fontId="29" fillId="30" borderId="28" xfId="43" applyNumberFormat="1" applyFont="1" applyFill="1" applyBorder="1" applyAlignment="1">
      <alignment horizontal="right"/>
    </xf>
    <xf numFmtId="3" fontId="29" fillId="30" borderId="28" xfId="43" applyNumberFormat="1" applyFont="1" applyFill="1" applyBorder="1" applyAlignment="1">
      <alignment horizontal="right"/>
    </xf>
    <xf numFmtId="0" fontId="28" fillId="29" borderId="25" xfId="43" applyFont="1" applyFill="1" applyBorder="1" applyAlignment="1"/>
    <xf numFmtId="4" fontId="28" fillId="29" borderId="31" xfId="43" applyNumberFormat="1" applyFont="1" applyFill="1" applyBorder="1" applyAlignment="1">
      <alignment horizontal="right"/>
    </xf>
    <xf numFmtId="4" fontId="28" fillId="29" borderId="28" xfId="43" applyNumberFormat="1" applyFont="1" applyFill="1" applyBorder="1" applyAlignment="1">
      <alignment horizontal="right"/>
    </xf>
    <xf numFmtId="3" fontId="28" fillId="29" borderId="28" xfId="43" applyNumberFormat="1" applyFont="1" applyFill="1" applyBorder="1" applyAlignment="1">
      <alignment horizontal="right"/>
    </xf>
    <xf numFmtId="0" fontId="0" fillId="27" borderId="0" xfId="0" applyFont="1" applyFill="1"/>
    <xf numFmtId="49" fontId="29" fillId="35" borderId="25" xfId="43" applyNumberFormat="1" applyFont="1" applyFill="1" applyBorder="1" applyAlignment="1">
      <alignment horizontal="right"/>
    </xf>
    <xf numFmtId="0" fontId="23" fillId="35" borderId="25" xfId="43" applyFont="1" applyFill="1" applyBorder="1" applyAlignment="1">
      <alignment horizontal="right"/>
    </xf>
    <xf numFmtId="0" fontId="23" fillId="35" borderId="25" xfId="43" applyFont="1" applyFill="1" applyBorder="1" applyAlignment="1"/>
    <xf numFmtId="3" fontId="29" fillId="36" borderId="25" xfId="43" applyNumberFormat="1" applyFont="1" applyFill="1" applyBorder="1" applyAlignment="1">
      <alignment horizontal="right"/>
    </xf>
    <xf numFmtId="4" fontId="29" fillId="36" borderId="25" xfId="43" applyNumberFormat="1" applyFont="1" applyFill="1" applyBorder="1" applyAlignment="1">
      <alignment horizontal="right"/>
    </xf>
    <xf numFmtId="168" fontId="29" fillId="36" borderId="25" xfId="43" applyNumberFormat="1" applyFont="1" applyFill="1" applyBorder="1" applyAlignment="1">
      <alignment horizontal="right"/>
    </xf>
    <xf numFmtId="3" fontId="29" fillId="35" borderId="25" xfId="43" applyNumberFormat="1" applyFont="1" applyFill="1" applyBorder="1" applyAlignment="1">
      <alignment horizontal="right"/>
    </xf>
    <xf numFmtId="4" fontId="29" fillId="35" borderId="25" xfId="43" applyNumberFormat="1" applyFont="1" applyFill="1" applyBorder="1" applyAlignment="1">
      <alignment horizontal="right"/>
    </xf>
    <xf numFmtId="4" fontId="33" fillId="35" borderId="25" xfId="0" applyNumberFormat="1" applyFont="1" applyFill="1" applyBorder="1"/>
    <xf numFmtId="0" fontId="0" fillId="27" borderId="0" xfId="0" applyFill="1"/>
    <xf numFmtId="0" fontId="34" fillId="27" borderId="0" xfId="0" applyFont="1" applyFill="1"/>
    <xf numFmtId="0" fontId="24" fillId="27" borderId="0" xfId="0" applyFont="1" applyFill="1"/>
    <xf numFmtId="4" fontId="28" fillId="27" borderId="36" xfId="43" applyNumberFormat="1" applyFont="1" applyFill="1" applyBorder="1" applyAlignment="1">
      <alignment horizontal="right"/>
    </xf>
    <xf numFmtId="3" fontId="28" fillId="27" borderId="36" xfId="43" applyNumberFormat="1" applyFont="1" applyFill="1" applyBorder="1" applyAlignment="1">
      <alignment horizontal="right"/>
    </xf>
    <xf numFmtId="3" fontId="29" fillId="30" borderId="30" xfId="43" applyNumberFormat="1" applyFont="1" applyFill="1" applyBorder="1" applyAlignment="1">
      <alignment horizontal="right"/>
    </xf>
    <xf numFmtId="3" fontId="29" fillId="31" borderId="32" xfId="43" applyNumberFormat="1" applyFont="1" applyFill="1" applyBorder="1" applyAlignment="1">
      <alignment horizontal="right"/>
    </xf>
    <xf numFmtId="4" fontId="29" fillId="31" borderId="36" xfId="43" applyNumberFormat="1" applyFont="1" applyFill="1" applyBorder="1"/>
    <xf numFmtId="168" fontId="29" fillId="31" borderId="30" xfId="43" applyNumberFormat="1" applyFont="1" applyFill="1" applyBorder="1" applyAlignment="1">
      <alignment horizontal="right"/>
    </xf>
    <xf numFmtId="168" fontId="35" fillId="30" borderId="31" xfId="43" applyNumberFormat="1" applyFont="1" applyFill="1" applyBorder="1" applyAlignment="1">
      <alignment horizontal="right"/>
    </xf>
    <xf numFmtId="168" fontId="28" fillId="29" borderId="31" xfId="43" applyNumberFormat="1" applyFont="1" applyFill="1" applyBorder="1" applyAlignment="1">
      <alignment horizontal="right"/>
    </xf>
    <xf numFmtId="168" fontId="29" fillId="31" borderId="31" xfId="43" applyNumberFormat="1" applyFont="1" applyFill="1" applyBorder="1" applyAlignment="1">
      <alignment horizontal="right"/>
    </xf>
    <xf numFmtId="168" fontId="29" fillId="30" borderId="31" xfId="43" applyNumberFormat="1" applyFont="1" applyFill="1" applyBorder="1" applyAlignment="1">
      <alignment horizontal="right"/>
    </xf>
    <xf numFmtId="4" fontId="33" fillId="35" borderId="31" xfId="0" applyNumberFormat="1" applyFont="1" applyFill="1" applyBorder="1"/>
    <xf numFmtId="168" fontId="29" fillId="31" borderId="31" xfId="52" applyNumberFormat="1" applyFont="1" applyFill="1" applyBorder="1"/>
    <xf numFmtId="168" fontId="29" fillId="31" borderId="31" xfId="52" applyNumberFormat="1" applyFont="1" applyFill="1" applyBorder="1" applyAlignment="1">
      <alignment horizontal="right"/>
    </xf>
    <xf numFmtId="168" fontId="29" fillId="31" borderId="34" xfId="43" applyNumberFormat="1" applyFont="1" applyFill="1" applyBorder="1" applyAlignment="1">
      <alignment horizontal="right"/>
    </xf>
    <xf numFmtId="168" fontId="29" fillId="30" borderId="30" xfId="43" applyNumberFormat="1" applyFont="1" applyFill="1" applyBorder="1" applyAlignment="1">
      <alignment horizontal="right"/>
    </xf>
    <xf numFmtId="168" fontId="29" fillId="31" borderId="32" xfId="43" applyNumberFormat="1" applyFont="1" applyFill="1" applyBorder="1" applyAlignment="1">
      <alignment horizontal="right"/>
    </xf>
    <xf numFmtId="3" fontId="29" fillId="31" borderId="36" xfId="43" applyNumberFormat="1" applyFont="1" applyFill="1" applyBorder="1"/>
    <xf numFmtId="3" fontId="29" fillId="31" borderId="31" xfId="43" applyNumberFormat="1" applyFont="1" applyFill="1" applyBorder="1"/>
    <xf numFmtId="4" fontId="28" fillId="27" borderId="36" xfId="43" applyNumberFormat="1" applyFont="1" applyFill="1" applyBorder="1"/>
    <xf numFmtId="3" fontId="26" fillId="27" borderId="36" xfId="0" applyNumberFormat="1" applyFont="1" applyFill="1" applyBorder="1"/>
    <xf numFmtId="4" fontId="26" fillId="27" borderId="36" xfId="0" applyNumberFormat="1" applyFont="1" applyFill="1" applyBorder="1"/>
    <xf numFmtId="0" fontId="22" fillId="37" borderId="37" xfId="43" applyFont="1" applyFill="1" applyBorder="1" applyAlignment="1"/>
    <xf numFmtId="0" fontId="22" fillId="37" borderId="37" xfId="43" applyFont="1" applyFill="1" applyBorder="1" applyAlignment="1">
      <alignment horizontal="left"/>
    </xf>
    <xf numFmtId="0" fontId="25" fillId="27" borderId="25" xfId="43" applyFont="1" applyFill="1" applyBorder="1" applyAlignment="1">
      <alignment horizontal="right"/>
    </xf>
    <xf numFmtId="4" fontId="37" fillId="27" borderId="25" xfId="0" applyNumberFormat="1" applyFont="1" applyFill="1" applyBorder="1"/>
    <xf numFmtId="4" fontId="37" fillId="27" borderId="31" xfId="0" applyNumberFormat="1" applyFont="1" applyFill="1" applyBorder="1"/>
    <xf numFmtId="4" fontId="37" fillId="27" borderId="28" xfId="0" applyNumberFormat="1" applyFont="1" applyFill="1" applyBorder="1"/>
    <xf numFmtId="3" fontId="37" fillId="27" borderId="28" xfId="0" applyNumberFormat="1" applyFont="1" applyFill="1" applyBorder="1"/>
    <xf numFmtId="168" fontId="35" fillId="29" borderId="31" xfId="43" applyNumberFormat="1" applyFont="1" applyFill="1" applyBorder="1" applyAlignment="1">
      <alignment horizontal="right"/>
    </xf>
    <xf numFmtId="4" fontId="26" fillId="0" borderId="0" xfId="0" applyNumberFormat="1" applyFont="1"/>
    <xf numFmtId="3" fontId="26" fillId="0" borderId="0" xfId="0" applyNumberFormat="1" applyFont="1"/>
    <xf numFmtId="0" fontId="35" fillId="39" borderId="25" xfId="43" applyFont="1" applyFill="1" applyBorder="1" applyAlignment="1">
      <alignment horizontal="right"/>
    </xf>
    <xf numFmtId="3" fontId="26" fillId="38" borderId="0" xfId="0" applyNumberFormat="1" applyFont="1" applyFill="1"/>
    <xf numFmtId="3" fontId="39" fillId="27" borderId="28" xfId="43" applyNumberFormat="1" applyFont="1" applyFill="1" applyBorder="1"/>
    <xf numFmtId="0" fontId="34" fillId="27" borderId="38" xfId="0" applyFont="1" applyFill="1" applyBorder="1"/>
    <xf numFmtId="4" fontId="38" fillId="27" borderId="25" xfId="0" applyNumberFormat="1" applyFont="1" applyFill="1" applyBorder="1"/>
    <xf numFmtId="4" fontId="26" fillId="38" borderId="0" xfId="0" applyNumberFormat="1" applyFont="1" applyFill="1"/>
    <xf numFmtId="4" fontId="35" fillId="39" borderId="25" xfId="43" applyNumberFormat="1" applyFont="1" applyFill="1" applyBorder="1"/>
    <xf numFmtId="4" fontId="35" fillId="39" borderId="31" xfId="43" applyNumberFormat="1" applyFont="1" applyFill="1" applyBorder="1"/>
    <xf numFmtId="4" fontId="35" fillId="39" borderId="28" xfId="43" applyNumberFormat="1" applyFont="1" applyFill="1" applyBorder="1"/>
    <xf numFmtId="3" fontId="35" fillId="39" borderId="28" xfId="43" applyNumberFormat="1" applyFont="1" applyFill="1" applyBorder="1"/>
    <xf numFmtId="168" fontId="35" fillId="33" borderId="25" xfId="43" applyNumberFormat="1" applyFont="1" applyFill="1" applyBorder="1" applyAlignment="1">
      <alignment horizontal="right"/>
    </xf>
    <xf numFmtId="3" fontId="29" fillId="30" borderId="24" xfId="43" applyNumberFormat="1" applyFont="1" applyFill="1" applyBorder="1" applyAlignment="1">
      <alignment horizontal="right"/>
    </xf>
    <xf numFmtId="0" fontId="36" fillId="0" borderId="0" xfId="0" applyFont="1" applyAlignment="1">
      <alignment horizontal="center"/>
    </xf>
    <xf numFmtId="10" fontId="33" fillId="0" borderId="11" xfId="0" applyNumberFormat="1" applyFont="1" applyBorder="1" applyAlignment="1">
      <alignment horizontal="center" vertical="center"/>
    </xf>
    <xf numFmtId="10" fontId="26" fillId="0" borderId="13" xfId="0" applyNumberFormat="1" applyFont="1" applyBorder="1" applyAlignment="1">
      <alignment horizontal="center" vertical="center"/>
    </xf>
    <xf numFmtId="10" fontId="26" fillId="0" borderId="20" xfId="0" applyNumberFormat="1" applyFont="1" applyBorder="1" applyAlignment="1">
      <alignment horizontal="center" vertical="center"/>
    </xf>
    <xf numFmtId="0" fontId="23" fillId="0" borderId="21" xfId="43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19" xfId="0" applyBorder="1" applyAlignment="1">
      <alignment vertical="center"/>
    </xf>
    <xf numFmtId="0" fontId="21" fillId="0" borderId="21" xfId="43" applyFont="1" applyBorder="1" applyAlignment="1">
      <alignment horizontal="center" vertical="center"/>
    </xf>
    <xf numFmtId="0" fontId="20" fillId="0" borderId="22" xfId="0" applyFont="1" applyBorder="1" applyAlignment="1">
      <alignment vertical="center"/>
    </xf>
    <xf numFmtId="0" fontId="20" fillId="0" borderId="19" xfId="0" applyFont="1" applyBorder="1" applyAlignment="1">
      <alignment vertical="center"/>
    </xf>
    <xf numFmtId="0" fontId="23" fillId="0" borderId="21" xfId="43" applyFont="1" applyBorder="1" applyAlignment="1">
      <alignment horizontal="center" vertical="center" wrapText="1"/>
    </xf>
    <xf numFmtId="0" fontId="0" fillId="0" borderId="22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3" fontId="23" fillId="0" borderId="21" xfId="43" applyNumberFormat="1" applyFont="1" applyBorder="1" applyAlignment="1">
      <alignment horizontal="center" vertical="center" wrapText="1"/>
    </xf>
    <xf numFmtId="3" fontId="0" fillId="0" borderId="22" xfId="0" applyNumberFormat="1" applyBorder="1" applyAlignment="1">
      <alignment vertical="center" wrapText="1"/>
    </xf>
    <xf numFmtId="3" fontId="0" fillId="0" borderId="19" xfId="0" applyNumberFormat="1" applyBorder="1" applyAlignment="1">
      <alignment vertical="center" wrapText="1"/>
    </xf>
    <xf numFmtId="4" fontId="23" fillId="0" borderId="21" xfId="43" applyNumberFormat="1" applyFont="1" applyBorder="1" applyAlignment="1">
      <alignment horizontal="center" vertical="center" wrapText="1"/>
    </xf>
    <xf numFmtId="4" fontId="0" fillId="0" borderId="22" xfId="0" applyNumberFormat="1" applyBorder="1" applyAlignment="1">
      <alignment horizontal="center" vertical="center" wrapText="1"/>
    </xf>
    <xf numFmtId="4" fontId="0" fillId="0" borderId="19" xfId="0" applyNumberFormat="1" applyBorder="1" applyAlignment="1">
      <alignment horizontal="center" vertical="center" wrapText="1"/>
    </xf>
    <xf numFmtId="0" fontId="20" fillId="0" borderId="23" xfId="0" applyFont="1" applyBorder="1" applyAlignment="1"/>
    <xf numFmtId="0" fontId="20" fillId="0" borderId="0" xfId="0" applyFont="1" applyBorder="1" applyAlignment="1"/>
    <xf numFmtId="4" fontId="20" fillId="0" borderId="0" xfId="0" applyNumberFormat="1" applyFont="1" applyBorder="1" applyAlignment="1">
      <alignment horizontal="center"/>
    </xf>
    <xf numFmtId="4" fontId="20" fillId="0" borderId="13" xfId="0" applyNumberFormat="1" applyFont="1" applyBorder="1" applyAlignment="1">
      <alignment horizontal="center"/>
    </xf>
    <xf numFmtId="4" fontId="20" fillId="0" borderId="16" xfId="0" applyNumberFormat="1" applyFont="1" applyBorder="1" applyAlignment="1">
      <alignment horizontal="center"/>
    </xf>
    <xf numFmtId="4" fontId="20" fillId="0" borderId="20" xfId="0" applyNumberFormat="1" applyFont="1" applyBorder="1" applyAlignment="1">
      <alignment horizontal="center"/>
    </xf>
    <xf numFmtId="0" fontId="20" fillId="0" borderId="23" xfId="0" applyFont="1" applyBorder="1" applyAlignment="1">
      <alignment horizontal="left"/>
    </xf>
    <xf numFmtId="0" fontId="20" fillId="0" borderId="0" xfId="0" applyFont="1" applyBorder="1" applyAlignment="1">
      <alignment horizontal="left"/>
    </xf>
  </cellXfs>
  <cellStyles count="53">
    <cellStyle name="_PERSONAL" xfId="1"/>
    <cellStyle name="_PERSONAL_1" xfId="2"/>
    <cellStyle name="20% - akcent 1" xfId="3" builtinId="30" customBuiltin="1"/>
    <cellStyle name="20% - akcent 2" xfId="4" builtinId="34" customBuiltin="1"/>
    <cellStyle name="20% - akcent 3" xfId="5" builtinId="38" customBuiltin="1"/>
    <cellStyle name="20% - akcent 4" xfId="6" builtinId="42" customBuiltin="1"/>
    <cellStyle name="20% - akcent 5" xfId="7" builtinId="46" customBuiltin="1"/>
    <cellStyle name="20% - akcent 6" xfId="8" builtinId="50" customBuiltin="1"/>
    <cellStyle name="40% - akcent 1" xfId="9" builtinId="31" customBuiltin="1"/>
    <cellStyle name="40% - akcent 2" xfId="10" builtinId="35" customBuiltin="1"/>
    <cellStyle name="40% - akcent 3" xfId="11" builtinId="39" customBuiltin="1"/>
    <cellStyle name="40% - akcent 4" xfId="12" builtinId="43" customBuiltin="1"/>
    <cellStyle name="40% - akcent 5" xfId="13" builtinId="47" customBuiltin="1"/>
    <cellStyle name="40% - akcent 6" xfId="14" builtinId="51" customBuiltin="1"/>
    <cellStyle name="60% - akcent 1" xfId="15" builtinId="32" customBuiltin="1"/>
    <cellStyle name="60% - akcent 2" xfId="16" builtinId="36" customBuiltin="1"/>
    <cellStyle name="60% - akcent 3" xfId="17" builtinId="40" customBuiltin="1"/>
    <cellStyle name="60% - akcent 4" xfId="18" builtinId="44" customBuiltin="1"/>
    <cellStyle name="60% - akcent 5" xfId="19" builtinId="48" customBuiltin="1"/>
    <cellStyle name="60% - akcent 6" xfId="20" builtinId="52" customBuiltin="1"/>
    <cellStyle name="Akcent 1" xfId="21" builtinId="29" customBuiltin="1"/>
    <cellStyle name="Akcent 2" xfId="22" builtinId="33" customBuiltin="1"/>
    <cellStyle name="Akcent 3" xfId="23" builtinId="37" customBuiltin="1"/>
    <cellStyle name="Akcent 4" xfId="24" builtinId="41" customBuiltin="1"/>
    <cellStyle name="Akcent 5" xfId="25" builtinId="45" customBuiltin="1"/>
    <cellStyle name="Akcent 6" xfId="26" builtinId="49" customBuiltin="1"/>
    <cellStyle name="Comma [0]_laroux" xfId="27"/>
    <cellStyle name="Comma_laroux" xfId="28"/>
    <cellStyle name="Currency [0]_laroux" xfId="29"/>
    <cellStyle name="Currency_laroux" xfId="30"/>
    <cellStyle name="Dane wejściowe" xfId="31" builtinId="20" customBuiltin="1"/>
    <cellStyle name="Dane wyjściowe" xfId="32" builtinId="21" customBuiltin="1"/>
    <cellStyle name="Dobre" xfId="33" builtinId="26" customBuiltin="1"/>
    <cellStyle name="Dziesiętny" xfId="51" builtinId="3"/>
    <cellStyle name="Komórka połączona" xfId="34" builtinId="24" customBuiltin="1"/>
    <cellStyle name="Komórka zaznaczona" xfId="35" builtinId="23" customBuiltin="1"/>
    <cellStyle name="Nagłówek 1" xfId="36" builtinId="16" customBuiltin="1"/>
    <cellStyle name="Nagłówek 2" xfId="37" builtinId="17" customBuiltin="1"/>
    <cellStyle name="Nagłówek 3" xfId="38" builtinId="18" customBuiltin="1"/>
    <cellStyle name="Nagłówek 4" xfId="39" builtinId="19" customBuiltin="1"/>
    <cellStyle name="Neutralne" xfId="40" builtinId="28" customBuiltin="1"/>
    <cellStyle name="Normal_laroux" xfId="41"/>
    <cellStyle name="normální_laroux" xfId="42"/>
    <cellStyle name="Normalny" xfId="0" builtinId="0"/>
    <cellStyle name="Normalny_Arkusz1" xfId="43"/>
    <cellStyle name="Obliczenia" xfId="44" builtinId="22" customBuiltin="1"/>
    <cellStyle name="Procentowy" xfId="52" builtinId="5"/>
    <cellStyle name="Suma" xfId="45" builtinId="25" customBuiltin="1"/>
    <cellStyle name="Tekst objaśnienia" xfId="46" builtinId="53" customBuiltin="1"/>
    <cellStyle name="Tekst ostrzeżenia" xfId="47" builtinId="11" customBuiltin="1"/>
    <cellStyle name="Tytuł" xfId="48" builtinId="15" customBuiltin="1"/>
    <cellStyle name="Uwaga" xfId="49" builtinId="10" customBuiltin="1"/>
    <cellStyle name="Złe" xfId="50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11"/>
  <sheetViews>
    <sheetView tabSelected="1" topLeftCell="H1" zoomScaleNormal="100" workbookViewId="0">
      <selection activeCell="A307" sqref="A1:X307"/>
    </sheetView>
  </sheetViews>
  <sheetFormatPr defaultRowHeight="12.75"/>
  <cols>
    <col min="1" max="1" width="3.5703125" style="228" customWidth="1"/>
    <col min="2" max="2" width="5.140625" customWidth="1"/>
    <col min="3" max="3" width="7.5703125" style="1" customWidth="1"/>
    <col min="4" max="4" width="4.140625" style="1" customWidth="1"/>
    <col min="5" max="5" width="24.28515625" customWidth="1"/>
    <col min="6" max="6" width="13.85546875" style="25" customWidth="1"/>
    <col min="7" max="7" width="16.42578125" style="3" bestFit="1" customWidth="1"/>
    <col min="8" max="8" width="8.7109375" style="10" bestFit="1" customWidth="1"/>
    <col min="9" max="9" width="10.28515625" style="25" customWidth="1"/>
    <col min="10" max="10" width="12.42578125" style="3" customWidth="1"/>
    <col min="11" max="11" width="8.7109375" bestFit="1" customWidth="1"/>
    <col min="12" max="12" width="11.85546875" style="3" customWidth="1"/>
    <col min="13" max="13" width="10.28515625" style="3" bestFit="1" customWidth="1"/>
    <col min="14" max="14" width="11.42578125" style="3" customWidth="1"/>
    <col min="15" max="15" width="10" style="3" customWidth="1"/>
    <col min="16" max="16" width="8.7109375" style="3" bestFit="1" customWidth="1"/>
    <col min="17" max="17" width="11.85546875" style="25" customWidth="1"/>
    <col min="18" max="18" width="12.140625" style="3" customWidth="1"/>
    <col min="19" max="19" width="9.85546875" style="10" customWidth="1"/>
    <col min="20" max="20" width="10.5703125" style="3" customWidth="1"/>
    <col min="21" max="21" width="7.7109375" style="3" customWidth="1"/>
    <col min="22" max="22" width="9.140625" style="3" customWidth="1"/>
    <col min="23" max="23" width="7.85546875" style="3" customWidth="1"/>
    <col min="24" max="24" width="8.140625" style="3" customWidth="1"/>
  </cols>
  <sheetData>
    <row r="1" spans="1:24" ht="15">
      <c r="B1" s="274" t="s">
        <v>193</v>
      </c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</row>
    <row r="2" spans="1:24" ht="15.75" thickBot="1"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</row>
    <row r="3" spans="1:24">
      <c r="B3" s="278" t="s">
        <v>0</v>
      </c>
      <c r="C3" s="278" t="s">
        <v>1</v>
      </c>
      <c r="D3" s="281" t="s">
        <v>2</v>
      </c>
      <c r="E3" s="284" t="s">
        <v>3</v>
      </c>
      <c r="F3" s="287" t="s">
        <v>101</v>
      </c>
      <c r="G3" s="290" t="s">
        <v>85</v>
      </c>
      <c r="H3" s="275" t="s">
        <v>87</v>
      </c>
      <c r="I3" s="26"/>
      <c r="J3" s="13"/>
      <c r="K3" s="4"/>
      <c r="L3" s="13"/>
      <c r="M3" s="13"/>
      <c r="N3" s="7"/>
      <c r="O3" s="13"/>
      <c r="P3" s="18"/>
      <c r="Q3" s="26"/>
      <c r="R3" s="13"/>
      <c r="S3" s="11"/>
      <c r="T3" s="13"/>
      <c r="U3" s="13"/>
      <c r="V3" s="13"/>
      <c r="W3" s="13"/>
      <c r="X3" s="18"/>
    </row>
    <row r="4" spans="1:24">
      <c r="B4" s="279"/>
      <c r="C4" s="279"/>
      <c r="D4" s="282"/>
      <c r="E4" s="285"/>
      <c r="F4" s="288"/>
      <c r="G4" s="291"/>
      <c r="H4" s="276"/>
      <c r="I4" s="293" t="s">
        <v>4</v>
      </c>
      <c r="J4" s="294"/>
      <c r="K4" s="294"/>
      <c r="L4" s="294"/>
      <c r="M4" s="15"/>
      <c r="N4" s="15"/>
      <c r="O4" s="15"/>
      <c r="P4" s="19"/>
      <c r="Q4" s="293" t="s">
        <v>94</v>
      </c>
      <c r="R4" s="294"/>
      <c r="S4" s="294"/>
      <c r="T4" s="294"/>
      <c r="U4" s="15"/>
      <c r="V4" s="15"/>
      <c r="W4" s="15"/>
      <c r="X4" s="19"/>
    </row>
    <row r="5" spans="1:24" ht="13.5" thickBot="1">
      <c r="B5" s="279"/>
      <c r="C5" s="279"/>
      <c r="D5" s="282"/>
      <c r="E5" s="285"/>
      <c r="F5" s="288"/>
      <c r="G5" s="291"/>
      <c r="H5" s="276"/>
      <c r="I5" s="293" t="s">
        <v>88</v>
      </c>
      <c r="J5" s="294"/>
      <c r="K5" s="294"/>
      <c r="L5" s="294"/>
      <c r="M5" s="295" t="s">
        <v>89</v>
      </c>
      <c r="N5" s="295"/>
      <c r="O5" s="295"/>
      <c r="P5" s="296"/>
      <c r="Q5" s="299" t="s">
        <v>95</v>
      </c>
      <c r="R5" s="300"/>
      <c r="S5" s="300"/>
      <c r="T5" s="300"/>
      <c r="U5" s="297" t="s">
        <v>89</v>
      </c>
      <c r="V5" s="297"/>
      <c r="W5" s="297"/>
      <c r="X5" s="298"/>
    </row>
    <row r="6" spans="1:24" ht="76.5" customHeight="1" thickBot="1">
      <c r="B6" s="280"/>
      <c r="C6" s="280"/>
      <c r="D6" s="283"/>
      <c r="E6" s="286"/>
      <c r="F6" s="289"/>
      <c r="G6" s="292"/>
      <c r="H6" s="277"/>
      <c r="I6" s="27"/>
      <c r="J6" s="29" t="s">
        <v>85</v>
      </c>
      <c r="K6" s="8" t="s">
        <v>87</v>
      </c>
      <c r="L6" s="14" t="s">
        <v>90</v>
      </c>
      <c r="M6" s="16" t="s">
        <v>91</v>
      </c>
      <c r="N6" s="17" t="s">
        <v>92</v>
      </c>
      <c r="O6" s="17" t="s">
        <v>96</v>
      </c>
      <c r="P6" s="20" t="s">
        <v>93</v>
      </c>
      <c r="Q6" s="27"/>
      <c r="R6" s="29" t="s">
        <v>85</v>
      </c>
      <c r="S6" s="12" t="s">
        <v>87</v>
      </c>
      <c r="T6" s="21" t="s">
        <v>90</v>
      </c>
      <c r="U6" s="16" t="s">
        <v>91</v>
      </c>
      <c r="V6" s="17" t="s">
        <v>92</v>
      </c>
      <c r="W6" s="22" t="s">
        <v>97</v>
      </c>
      <c r="X6" s="20" t="s">
        <v>93</v>
      </c>
    </row>
    <row r="7" spans="1:24" ht="12" customHeight="1" thickBot="1">
      <c r="B7" s="24">
        <v>1</v>
      </c>
      <c r="C7" s="24">
        <v>2</v>
      </c>
      <c r="D7" s="24">
        <v>3</v>
      </c>
      <c r="E7" s="30">
        <v>4</v>
      </c>
      <c r="F7" s="24">
        <v>5</v>
      </c>
      <c r="G7" s="24">
        <v>6</v>
      </c>
      <c r="H7" s="31">
        <v>7</v>
      </c>
      <c r="I7" s="28">
        <v>8</v>
      </c>
      <c r="J7" s="31">
        <v>9</v>
      </c>
      <c r="K7" s="28">
        <v>10</v>
      </c>
      <c r="L7" s="31">
        <v>11</v>
      </c>
      <c r="M7" s="28">
        <v>12</v>
      </c>
      <c r="N7" s="31">
        <v>13</v>
      </c>
      <c r="O7" s="28">
        <v>14</v>
      </c>
      <c r="P7" s="31">
        <v>15</v>
      </c>
      <c r="Q7" s="28">
        <v>16</v>
      </c>
      <c r="R7" s="31">
        <v>17</v>
      </c>
      <c r="S7" s="28">
        <v>18</v>
      </c>
      <c r="T7" s="31">
        <v>19</v>
      </c>
      <c r="U7" s="28">
        <v>20</v>
      </c>
      <c r="V7" s="31">
        <v>21</v>
      </c>
      <c r="W7" s="28">
        <v>22</v>
      </c>
      <c r="X7" s="28">
        <v>23</v>
      </c>
    </row>
    <row r="8" spans="1:24" s="5" customFormat="1">
      <c r="A8" s="9"/>
      <c r="B8" s="32" t="s">
        <v>113</v>
      </c>
      <c r="C8" s="65"/>
      <c r="D8" s="69"/>
      <c r="E8" s="69" t="s">
        <v>5</v>
      </c>
      <c r="F8" s="94">
        <f>SUM(I8+Q8)</f>
        <v>81282</v>
      </c>
      <c r="G8" s="98">
        <f t="shared" ref="G8:X8" si="0">SUM(G11)</f>
        <v>4989.99</v>
      </c>
      <c r="H8" s="103">
        <f>SUM(G8/F8)</f>
        <v>6.1391082896582266E-2</v>
      </c>
      <c r="I8" s="94">
        <f>SUM(I11+I9)</f>
        <v>81282</v>
      </c>
      <c r="J8" s="98">
        <f>SUM(J11+J9)</f>
        <v>4989.99</v>
      </c>
      <c r="K8" s="103">
        <f>SUM(J8/I8)</f>
        <v>6.1391082896582266E-2</v>
      </c>
      <c r="L8" s="98">
        <f t="shared" si="0"/>
        <v>0</v>
      </c>
      <c r="M8" s="162">
        <f t="shared" si="0"/>
        <v>0</v>
      </c>
      <c r="N8" s="162">
        <f t="shared" si="0"/>
        <v>0</v>
      </c>
      <c r="O8" s="48">
        <f t="shared" si="0"/>
        <v>0</v>
      </c>
      <c r="P8" s="162">
        <f t="shared" si="0"/>
        <v>0</v>
      </c>
      <c r="Q8" s="125">
        <f t="shared" si="0"/>
        <v>0</v>
      </c>
      <c r="R8" s="98">
        <f t="shared" si="0"/>
        <v>0</v>
      </c>
      <c r="S8" s="236"/>
      <c r="T8" s="98">
        <f t="shared" si="0"/>
        <v>0</v>
      </c>
      <c r="U8" s="162">
        <f t="shared" si="0"/>
        <v>0</v>
      </c>
      <c r="V8" s="162">
        <f t="shared" si="0"/>
        <v>0</v>
      </c>
      <c r="W8" s="48">
        <f t="shared" si="0"/>
        <v>0</v>
      </c>
      <c r="X8" s="162">
        <f t="shared" si="0"/>
        <v>0</v>
      </c>
    </row>
    <row r="9" spans="1:24" s="5" customFormat="1">
      <c r="A9" s="9"/>
      <c r="B9" s="33"/>
      <c r="C9" s="66" t="s">
        <v>174</v>
      </c>
      <c r="D9" s="67"/>
      <c r="E9" s="78" t="s">
        <v>175</v>
      </c>
      <c r="F9" s="95">
        <f t="shared" ref="F9:F10" si="1">SUM(I9+Q9)</f>
        <v>64982</v>
      </c>
      <c r="G9" s="99">
        <f t="shared" ref="G9:G10" si="2">SUM(J9+R9)</f>
        <v>0</v>
      </c>
      <c r="H9" s="104">
        <f t="shared" ref="H9:H10" si="3">SUM(G9/F9)</f>
        <v>0</v>
      </c>
      <c r="I9" s="108">
        <f>SUM(I10:I10)</f>
        <v>64982</v>
      </c>
      <c r="J9" s="143">
        <f>SUM(J10:J10)</f>
        <v>0</v>
      </c>
      <c r="K9" s="104">
        <f t="shared" ref="K9:K10" si="4">SUM(J9/I9)</f>
        <v>0</v>
      </c>
      <c r="L9" s="143">
        <f t="shared" ref="L9:R11" si="5">SUM(L10:L10)</f>
        <v>0</v>
      </c>
      <c r="M9" s="163">
        <f t="shared" si="5"/>
        <v>0</v>
      </c>
      <c r="N9" s="163">
        <f t="shared" si="5"/>
        <v>0</v>
      </c>
      <c r="O9" s="49">
        <f t="shared" si="5"/>
        <v>0</v>
      </c>
      <c r="P9" s="163">
        <f t="shared" si="5"/>
        <v>0</v>
      </c>
      <c r="Q9" s="126">
        <f t="shared" si="5"/>
        <v>0</v>
      </c>
      <c r="R9" s="143">
        <f t="shared" si="5"/>
        <v>0</v>
      </c>
      <c r="S9" s="237"/>
      <c r="T9" s="143">
        <f>SUM(T10:T10)</f>
        <v>0</v>
      </c>
      <c r="U9" s="163">
        <f>SUM(U10:U10)</f>
        <v>0</v>
      </c>
      <c r="V9" s="163">
        <f>SUM(V10:V10)</f>
        <v>0</v>
      </c>
      <c r="W9" s="49">
        <f>SUM(W10:W10)</f>
        <v>0</v>
      </c>
      <c r="X9" s="163">
        <f>SUM(X10:X10)</f>
        <v>0</v>
      </c>
    </row>
    <row r="10" spans="1:24" s="5" customFormat="1">
      <c r="A10" s="9"/>
      <c r="B10" s="34"/>
      <c r="C10" s="34"/>
      <c r="D10" s="70" t="s">
        <v>27</v>
      </c>
      <c r="E10" s="82" t="s">
        <v>118</v>
      </c>
      <c r="F10" s="96">
        <f t="shared" si="1"/>
        <v>64982</v>
      </c>
      <c r="G10" s="100">
        <f t="shared" si="2"/>
        <v>0</v>
      </c>
      <c r="H10" s="105">
        <f t="shared" si="3"/>
        <v>0</v>
      </c>
      <c r="I10" s="109">
        <v>64982</v>
      </c>
      <c r="J10" s="144">
        <v>0</v>
      </c>
      <c r="K10" s="105">
        <f t="shared" si="4"/>
        <v>0</v>
      </c>
      <c r="L10" s="147"/>
      <c r="M10" s="164"/>
      <c r="N10" s="164"/>
      <c r="O10" s="50"/>
      <c r="P10" s="164"/>
      <c r="Q10" s="127"/>
      <c r="R10" s="147"/>
      <c r="S10" s="238"/>
      <c r="T10" s="147"/>
      <c r="U10" s="164"/>
      <c r="V10" s="164"/>
      <c r="W10" s="50"/>
      <c r="X10" s="164"/>
    </row>
    <row r="11" spans="1:24" s="6" customFormat="1">
      <c r="A11" s="229"/>
      <c r="B11" s="33"/>
      <c r="C11" s="66" t="s">
        <v>126</v>
      </c>
      <c r="D11" s="67"/>
      <c r="E11" s="78" t="s">
        <v>64</v>
      </c>
      <c r="F11" s="95">
        <f t="shared" ref="F11:F73" si="6">SUM(I11+Q11)</f>
        <v>16300</v>
      </c>
      <c r="G11" s="99">
        <f t="shared" ref="G11:G73" si="7">SUM(J11+R11)</f>
        <v>4989.99</v>
      </c>
      <c r="H11" s="104">
        <f t="shared" ref="H11:H89" si="8">SUM(G11/F11)</f>
        <v>0.30613435582822085</v>
      </c>
      <c r="I11" s="108">
        <f>SUM(I12:I12)</f>
        <v>16300</v>
      </c>
      <c r="J11" s="143">
        <f>SUM(J12:J12)</f>
        <v>4989.99</v>
      </c>
      <c r="K11" s="104">
        <f t="shared" ref="K11:K89" si="9">SUM(J11/I11)</f>
        <v>0.30613435582822085</v>
      </c>
      <c r="L11" s="143">
        <f t="shared" si="5"/>
        <v>0</v>
      </c>
      <c r="M11" s="163">
        <f t="shared" si="5"/>
        <v>0</v>
      </c>
      <c r="N11" s="163">
        <f t="shared" si="5"/>
        <v>0</v>
      </c>
      <c r="O11" s="49">
        <f t="shared" si="5"/>
        <v>0</v>
      </c>
      <c r="P11" s="163">
        <f t="shared" si="5"/>
        <v>0</v>
      </c>
      <c r="Q11" s="126">
        <f t="shared" si="5"/>
        <v>0</v>
      </c>
      <c r="R11" s="143">
        <f t="shared" si="5"/>
        <v>0</v>
      </c>
      <c r="S11" s="237"/>
      <c r="T11" s="143">
        <f>SUM(T12:T12)</f>
        <v>0</v>
      </c>
      <c r="U11" s="163">
        <f>SUM(U12:U12)</f>
        <v>0</v>
      </c>
      <c r="V11" s="163">
        <f>SUM(V12:V12)</f>
        <v>0</v>
      </c>
      <c r="W11" s="49">
        <f>SUM(W12:W12)</f>
        <v>0</v>
      </c>
      <c r="X11" s="163">
        <f>SUM(X12:X12)</f>
        <v>0</v>
      </c>
    </row>
    <row r="12" spans="1:24">
      <c r="B12" s="34"/>
      <c r="C12" s="34"/>
      <c r="D12" s="70" t="s">
        <v>7</v>
      </c>
      <c r="E12" s="79" t="s">
        <v>8</v>
      </c>
      <c r="F12" s="96">
        <f t="shared" si="6"/>
        <v>16300</v>
      </c>
      <c r="G12" s="100">
        <f t="shared" si="7"/>
        <v>4989.99</v>
      </c>
      <c r="H12" s="105">
        <f t="shared" si="8"/>
        <v>0.30613435582822085</v>
      </c>
      <c r="I12" s="109">
        <v>16300</v>
      </c>
      <c r="J12" s="144">
        <v>4989.99</v>
      </c>
      <c r="K12" s="105">
        <f t="shared" si="9"/>
        <v>0.30613435582822085</v>
      </c>
      <c r="L12" s="147"/>
      <c r="M12" s="164"/>
      <c r="N12" s="164"/>
      <c r="O12" s="50"/>
      <c r="P12" s="164"/>
      <c r="Q12" s="127"/>
      <c r="R12" s="147"/>
      <c r="S12" s="238"/>
      <c r="T12" s="147"/>
      <c r="U12" s="164"/>
      <c r="V12" s="164"/>
      <c r="W12" s="50"/>
      <c r="X12" s="164"/>
    </row>
    <row r="13" spans="1:24" s="5" customFormat="1">
      <c r="A13" s="9"/>
      <c r="B13" s="35" t="s">
        <v>127</v>
      </c>
      <c r="C13" s="36"/>
      <c r="D13" s="71"/>
      <c r="E13" s="80" t="s">
        <v>9</v>
      </c>
      <c r="F13" s="97">
        <f t="shared" si="6"/>
        <v>253000</v>
      </c>
      <c r="G13" s="101">
        <f t="shared" si="7"/>
        <v>110945.75</v>
      </c>
      <c r="H13" s="106">
        <f t="shared" si="8"/>
        <v>0.4385207509881423</v>
      </c>
      <c r="I13" s="97">
        <f>SUM(I14)</f>
        <v>253000</v>
      </c>
      <c r="J13" s="101">
        <f t="shared" ref="J13:X14" si="10">SUM(J14)</f>
        <v>110945.75</v>
      </c>
      <c r="K13" s="106">
        <f t="shared" si="9"/>
        <v>0.4385207509881423</v>
      </c>
      <c r="L13" s="101">
        <f t="shared" si="10"/>
        <v>0</v>
      </c>
      <c r="M13" s="165">
        <f t="shared" si="10"/>
        <v>0</v>
      </c>
      <c r="N13" s="165">
        <f t="shared" si="10"/>
        <v>0</v>
      </c>
      <c r="O13" s="51">
        <f t="shared" si="10"/>
        <v>0</v>
      </c>
      <c r="P13" s="165">
        <f t="shared" si="10"/>
        <v>0</v>
      </c>
      <c r="Q13" s="128">
        <f t="shared" si="10"/>
        <v>0</v>
      </c>
      <c r="R13" s="101">
        <f t="shared" si="10"/>
        <v>0</v>
      </c>
      <c r="S13" s="239"/>
      <c r="T13" s="101">
        <f t="shared" si="10"/>
        <v>0</v>
      </c>
      <c r="U13" s="165">
        <f t="shared" si="10"/>
        <v>0</v>
      </c>
      <c r="V13" s="165">
        <f t="shared" si="10"/>
        <v>0</v>
      </c>
      <c r="W13" s="51">
        <f t="shared" si="10"/>
        <v>0</v>
      </c>
      <c r="X13" s="165">
        <f t="shared" si="10"/>
        <v>0</v>
      </c>
    </row>
    <row r="14" spans="1:24" s="6" customFormat="1">
      <c r="A14" s="229"/>
      <c r="B14" s="33"/>
      <c r="C14" s="67" t="s">
        <v>10</v>
      </c>
      <c r="D14" s="67"/>
      <c r="E14" s="78" t="s">
        <v>6</v>
      </c>
      <c r="F14" s="95">
        <f t="shared" si="6"/>
        <v>253000</v>
      </c>
      <c r="G14" s="99">
        <f t="shared" si="7"/>
        <v>110945.75</v>
      </c>
      <c r="H14" s="104">
        <f t="shared" si="8"/>
        <v>0.4385207509881423</v>
      </c>
      <c r="I14" s="108">
        <f>SUM(I15:I15)</f>
        <v>253000</v>
      </c>
      <c r="J14" s="143">
        <f>SUM(J15:J15)</f>
        <v>110945.75</v>
      </c>
      <c r="K14" s="104">
        <f t="shared" si="9"/>
        <v>0.4385207509881423</v>
      </c>
      <c r="L14" s="143">
        <f t="shared" si="10"/>
        <v>0</v>
      </c>
      <c r="M14" s="163">
        <f t="shared" si="10"/>
        <v>0</v>
      </c>
      <c r="N14" s="163">
        <f t="shared" si="10"/>
        <v>0</v>
      </c>
      <c r="O14" s="49">
        <f t="shared" si="10"/>
        <v>0</v>
      </c>
      <c r="P14" s="163">
        <f t="shared" si="10"/>
        <v>0</v>
      </c>
      <c r="Q14" s="126">
        <f t="shared" si="10"/>
        <v>0</v>
      </c>
      <c r="R14" s="143">
        <f t="shared" si="10"/>
        <v>0</v>
      </c>
      <c r="S14" s="237"/>
      <c r="T14" s="143">
        <f t="shared" si="10"/>
        <v>0</v>
      </c>
      <c r="U14" s="163">
        <f t="shared" si="10"/>
        <v>0</v>
      </c>
      <c r="V14" s="163">
        <f t="shared" si="10"/>
        <v>0</v>
      </c>
      <c r="W14" s="49">
        <f t="shared" si="10"/>
        <v>0</v>
      </c>
      <c r="X14" s="163">
        <f t="shared" si="10"/>
        <v>0</v>
      </c>
    </row>
    <row r="15" spans="1:24">
      <c r="B15" s="34"/>
      <c r="C15" s="68"/>
      <c r="D15" s="70" t="s">
        <v>7</v>
      </c>
      <c r="E15" s="79" t="s">
        <v>8</v>
      </c>
      <c r="F15" s="96">
        <f t="shared" si="6"/>
        <v>253000</v>
      </c>
      <c r="G15" s="100">
        <f>SUM(J15+R15)</f>
        <v>110945.75</v>
      </c>
      <c r="H15" s="105">
        <f t="shared" si="8"/>
        <v>0.4385207509881423</v>
      </c>
      <c r="I15" s="109">
        <v>253000</v>
      </c>
      <c r="J15" s="144">
        <v>110945.75</v>
      </c>
      <c r="K15" s="105">
        <f t="shared" si="9"/>
        <v>0.4385207509881423</v>
      </c>
      <c r="L15" s="147"/>
      <c r="M15" s="164"/>
      <c r="N15" s="164"/>
      <c r="O15" s="50"/>
      <c r="P15" s="164"/>
      <c r="Q15" s="127"/>
      <c r="R15" s="147"/>
      <c r="S15" s="238"/>
      <c r="T15" s="147"/>
      <c r="U15" s="164"/>
      <c r="V15" s="164"/>
      <c r="W15" s="50"/>
      <c r="X15" s="164"/>
    </row>
    <row r="16" spans="1:24" s="5" customFormat="1">
      <c r="A16" s="9"/>
      <c r="B16" s="35" t="s">
        <v>128</v>
      </c>
      <c r="C16" s="36"/>
      <c r="D16" s="71"/>
      <c r="E16" s="81" t="s">
        <v>11</v>
      </c>
      <c r="F16" s="97">
        <f t="shared" si="6"/>
        <v>900</v>
      </c>
      <c r="G16" s="101">
        <f t="shared" si="7"/>
        <v>780</v>
      </c>
      <c r="H16" s="106">
        <f t="shared" si="8"/>
        <v>0.8666666666666667</v>
      </c>
      <c r="I16" s="110">
        <f>SUM(I17)</f>
        <v>900</v>
      </c>
      <c r="J16" s="145">
        <f t="shared" ref="J16:X17" si="11">SUM(J17)</f>
        <v>780</v>
      </c>
      <c r="K16" s="106">
        <f t="shared" si="9"/>
        <v>0.8666666666666667</v>
      </c>
      <c r="L16" s="145">
        <f t="shared" si="11"/>
        <v>0</v>
      </c>
      <c r="M16" s="166">
        <f t="shared" si="11"/>
        <v>0</v>
      </c>
      <c r="N16" s="166">
        <f t="shared" si="11"/>
        <v>0</v>
      </c>
      <c r="O16" s="52">
        <f t="shared" si="11"/>
        <v>0</v>
      </c>
      <c r="P16" s="166">
        <f t="shared" si="11"/>
        <v>0</v>
      </c>
      <c r="Q16" s="129">
        <f t="shared" si="11"/>
        <v>0</v>
      </c>
      <c r="R16" s="145">
        <f t="shared" si="11"/>
        <v>0</v>
      </c>
      <c r="S16" s="239"/>
      <c r="T16" s="145">
        <f t="shared" si="11"/>
        <v>0</v>
      </c>
      <c r="U16" s="166">
        <f t="shared" si="11"/>
        <v>0</v>
      </c>
      <c r="V16" s="166">
        <f t="shared" si="11"/>
        <v>0</v>
      </c>
      <c r="W16" s="52">
        <f t="shared" si="11"/>
        <v>0</v>
      </c>
      <c r="X16" s="166">
        <f t="shared" si="11"/>
        <v>0</v>
      </c>
    </row>
    <row r="17" spans="1:24" s="6" customFormat="1">
      <c r="A17" s="229"/>
      <c r="B17" s="33"/>
      <c r="C17" s="66" t="s">
        <v>129</v>
      </c>
      <c r="D17" s="67"/>
      <c r="E17" s="78" t="s">
        <v>6</v>
      </c>
      <c r="F17" s="95">
        <f t="shared" si="6"/>
        <v>900</v>
      </c>
      <c r="G17" s="99">
        <f t="shared" si="7"/>
        <v>780</v>
      </c>
      <c r="H17" s="104">
        <f t="shared" si="8"/>
        <v>0.8666666666666667</v>
      </c>
      <c r="I17" s="108">
        <f>SUM(I18)</f>
        <v>900</v>
      </c>
      <c r="J17" s="143">
        <f t="shared" si="11"/>
        <v>780</v>
      </c>
      <c r="K17" s="104">
        <f t="shared" si="9"/>
        <v>0.8666666666666667</v>
      </c>
      <c r="L17" s="143">
        <f t="shared" si="11"/>
        <v>0</v>
      </c>
      <c r="M17" s="163">
        <f t="shared" si="11"/>
        <v>0</v>
      </c>
      <c r="N17" s="163">
        <f t="shared" si="11"/>
        <v>0</v>
      </c>
      <c r="O17" s="49">
        <f t="shared" si="11"/>
        <v>0</v>
      </c>
      <c r="P17" s="163">
        <f t="shared" si="11"/>
        <v>0</v>
      </c>
      <c r="Q17" s="126">
        <f t="shared" si="11"/>
        <v>0</v>
      </c>
      <c r="R17" s="143">
        <f t="shared" si="11"/>
        <v>0</v>
      </c>
      <c r="S17" s="237"/>
      <c r="T17" s="143">
        <f t="shared" si="11"/>
        <v>0</v>
      </c>
      <c r="U17" s="163">
        <f t="shared" si="11"/>
        <v>0</v>
      </c>
      <c r="V17" s="163">
        <f t="shared" si="11"/>
        <v>0</v>
      </c>
      <c r="W17" s="49">
        <f t="shared" si="11"/>
        <v>0</v>
      </c>
      <c r="X17" s="163">
        <f t="shared" si="11"/>
        <v>0</v>
      </c>
    </row>
    <row r="18" spans="1:24">
      <c r="B18" s="34"/>
      <c r="C18" s="34"/>
      <c r="D18" s="70" t="s">
        <v>12</v>
      </c>
      <c r="E18" s="79" t="s">
        <v>13</v>
      </c>
      <c r="F18" s="96">
        <f t="shared" si="6"/>
        <v>900</v>
      </c>
      <c r="G18" s="100">
        <f t="shared" si="7"/>
        <v>780</v>
      </c>
      <c r="H18" s="105">
        <f t="shared" si="8"/>
        <v>0.8666666666666667</v>
      </c>
      <c r="I18" s="109">
        <v>900</v>
      </c>
      <c r="J18" s="144">
        <v>780</v>
      </c>
      <c r="K18" s="105">
        <f t="shared" si="9"/>
        <v>0.8666666666666667</v>
      </c>
      <c r="L18" s="147"/>
      <c r="M18" s="167"/>
      <c r="N18" s="164"/>
      <c r="O18" s="50"/>
      <c r="P18" s="164"/>
      <c r="Q18" s="127"/>
      <c r="R18" s="147"/>
      <c r="S18" s="238"/>
      <c r="T18" s="147"/>
      <c r="U18" s="164"/>
      <c r="V18" s="164"/>
      <c r="W18" s="50"/>
      <c r="X18" s="164"/>
    </row>
    <row r="19" spans="1:24" s="5" customFormat="1">
      <c r="A19" s="9"/>
      <c r="B19" s="36">
        <v>600</v>
      </c>
      <c r="C19" s="36"/>
      <c r="D19" s="71"/>
      <c r="E19" s="81" t="s">
        <v>14</v>
      </c>
      <c r="F19" s="97">
        <f t="shared" si="6"/>
        <v>19721898</v>
      </c>
      <c r="G19" s="101">
        <f t="shared" si="7"/>
        <v>5326700.09</v>
      </c>
      <c r="H19" s="106">
        <f t="shared" si="8"/>
        <v>0.27009064188446769</v>
      </c>
      <c r="I19" s="110">
        <f>SUM(I20+I32)</f>
        <v>2241713</v>
      </c>
      <c r="J19" s="145">
        <f>SUM(J20+J32)</f>
        <v>943496.27</v>
      </c>
      <c r="K19" s="106">
        <f t="shared" si="9"/>
        <v>0.42088183010046337</v>
      </c>
      <c r="L19" s="145">
        <f t="shared" ref="L19:R19" si="12">SUM(L20+L32)</f>
        <v>28686.55</v>
      </c>
      <c r="M19" s="166">
        <f t="shared" si="12"/>
        <v>0</v>
      </c>
      <c r="N19" s="166">
        <f t="shared" si="12"/>
        <v>0</v>
      </c>
      <c r="O19" s="52">
        <f t="shared" si="12"/>
        <v>0</v>
      </c>
      <c r="P19" s="166">
        <f t="shared" si="12"/>
        <v>0</v>
      </c>
      <c r="Q19" s="129">
        <f t="shared" si="12"/>
        <v>17480185</v>
      </c>
      <c r="R19" s="145">
        <f t="shared" si="12"/>
        <v>4383203.82</v>
      </c>
      <c r="S19" s="239">
        <f t="shared" ref="S19:S89" si="13">SUM(R19/Q19)</f>
        <v>0.25075271342952038</v>
      </c>
      <c r="T19" s="145">
        <f>SUM(T20+T32)</f>
        <v>3772426.41</v>
      </c>
      <c r="U19" s="166">
        <f>SUM(U20+U32)</f>
        <v>0</v>
      </c>
      <c r="V19" s="166">
        <f>SUM(V20+V32)</f>
        <v>0</v>
      </c>
      <c r="W19" s="52">
        <f>SUM(W20+W32)</f>
        <v>0</v>
      </c>
      <c r="X19" s="166">
        <f>SUM(X20+X32)</f>
        <v>0</v>
      </c>
    </row>
    <row r="20" spans="1:24" s="6" customFormat="1">
      <c r="A20" s="229"/>
      <c r="B20" s="33"/>
      <c r="C20" s="33">
        <v>60014</v>
      </c>
      <c r="D20" s="67"/>
      <c r="E20" s="78" t="s">
        <v>15</v>
      </c>
      <c r="F20" s="95">
        <f t="shared" si="6"/>
        <v>17660865</v>
      </c>
      <c r="G20" s="99">
        <f t="shared" si="7"/>
        <v>4413282.7600000007</v>
      </c>
      <c r="H20" s="104">
        <f t="shared" si="8"/>
        <v>0.24989052121739228</v>
      </c>
      <c r="I20" s="111">
        <f>SUM(I21:I31)</f>
        <v>183240</v>
      </c>
      <c r="J20" s="146">
        <f>SUM(J21:J31)</f>
        <v>32988.94</v>
      </c>
      <c r="K20" s="104">
        <f t="shared" si="9"/>
        <v>0.18003132503820127</v>
      </c>
      <c r="L20" s="146">
        <f t="shared" ref="L20:R20" si="14">SUM(L21:L31)</f>
        <v>28686.55</v>
      </c>
      <c r="M20" s="168">
        <f t="shared" si="14"/>
        <v>0</v>
      </c>
      <c r="N20" s="168">
        <f t="shared" si="14"/>
        <v>0</v>
      </c>
      <c r="O20" s="53">
        <f t="shared" si="14"/>
        <v>0</v>
      </c>
      <c r="P20" s="168">
        <f t="shared" si="14"/>
        <v>0</v>
      </c>
      <c r="Q20" s="130">
        <f>SUM(Q21:Q31)</f>
        <v>17477625</v>
      </c>
      <c r="R20" s="146">
        <f t="shared" si="14"/>
        <v>4380293.82</v>
      </c>
      <c r="S20" s="237">
        <f t="shared" si="13"/>
        <v>0.25062294333469221</v>
      </c>
      <c r="T20" s="146">
        <f>SUM(T21:T31)</f>
        <v>3772426.41</v>
      </c>
      <c r="U20" s="168">
        <f>SUM(U21:U31)</f>
        <v>0</v>
      </c>
      <c r="V20" s="168">
        <f>SUM(V21:V31)</f>
        <v>0</v>
      </c>
      <c r="W20" s="53">
        <f>SUM(W21:W31)</f>
        <v>0</v>
      </c>
      <c r="X20" s="168">
        <f>SUM(X21:X31)</f>
        <v>0</v>
      </c>
    </row>
    <row r="21" spans="1:24">
      <c r="B21" s="34"/>
      <c r="C21" s="34"/>
      <c r="D21" s="72" t="s">
        <v>29</v>
      </c>
      <c r="E21" s="79" t="s">
        <v>163</v>
      </c>
      <c r="F21" s="96">
        <f t="shared" si="6"/>
        <v>0</v>
      </c>
      <c r="G21" s="100">
        <f t="shared" ref="G21:G25" si="15">SUM(J21+R21)</f>
        <v>369.43</v>
      </c>
      <c r="H21" s="105" t="e">
        <f t="shared" ref="H21:H30" si="16">SUM(G21/F21)</f>
        <v>#DIV/0!</v>
      </c>
      <c r="I21" s="112">
        <v>0</v>
      </c>
      <c r="J21" s="147">
        <v>369.43</v>
      </c>
      <c r="K21" s="105"/>
      <c r="L21" s="147"/>
      <c r="M21" s="164"/>
      <c r="N21" s="164"/>
      <c r="O21" s="50"/>
      <c r="P21" s="164"/>
      <c r="Q21" s="127"/>
      <c r="R21" s="147"/>
      <c r="S21" s="238"/>
      <c r="T21" s="147"/>
      <c r="U21" s="164"/>
      <c r="V21" s="164"/>
      <c r="W21" s="50"/>
      <c r="X21" s="164"/>
    </row>
    <row r="22" spans="1:24">
      <c r="B22" s="34"/>
      <c r="C22" s="34"/>
      <c r="D22" s="72" t="s">
        <v>7</v>
      </c>
      <c r="E22" s="79" t="s">
        <v>8</v>
      </c>
      <c r="F22" s="96">
        <f t="shared" si="6"/>
        <v>105000</v>
      </c>
      <c r="G22" s="100">
        <f t="shared" si="15"/>
        <v>3536.96</v>
      </c>
      <c r="H22" s="105">
        <f t="shared" si="16"/>
        <v>3.3685333333333331E-2</v>
      </c>
      <c r="I22" s="112">
        <v>105000</v>
      </c>
      <c r="J22" s="147">
        <v>3536.96</v>
      </c>
      <c r="K22" s="105">
        <f t="shared" si="9"/>
        <v>3.3685333333333331E-2</v>
      </c>
      <c r="L22" s="147"/>
      <c r="M22" s="164"/>
      <c r="N22" s="164"/>
      <c r="O22" s="50"/>
      <c r="P22" s="164"/>
      <c r="Q22" s="127"/>
      <c r="R22" s="147"/>
      <c r="S22" s="238"/>
      <c r="T22" s="147"/>
      <c r="U22" s="164"/>
      <c r="V22" s="164"/>
      <c r="W22" s="50"/>
      <c r="X22" s="164"/>
    </row>
    <row r="23" spans="1:24">
      <c r="B23" s="34"/>
      <c r="C23" s="34"/>
      <c r="D23" s="72" t="s">
        <v>156</v>
      </c>
      <c r="E23" s="79" t="s">
        <v>106</v>
      </c>
      <c r="F23" s="96">
        <f t="shared" si="6"/>
        <v>72562</v>
      </c>
      <c r="G23" s="100">
        <f t="shared" si="15"/>
        <v>23574.16</v>
      </c>
      <c r="H23" s="105">
        <f t="shared" si="16"/>
        <v>0.32488299660979575</v>
      </c>
      <c r="I23" s="112">
        <v>72562</v>
      </c>
      <c r="J23" s="147">
        <v>23574.16</v>
      </c>
      <c r="K23" s="105">
        <f t="shared" si="9"/>
        <v>0.32488299660979575</v>
      </c>
      <c r="L23" s="147">
        <v>23574.16</v>
      </c>
      <c r="M23" s="164"/>
      <c r="N23" s="164"/>
      <c r="O23" s="50"/>
      <c r="P23" s="164"/>
      <c r="Q23" s="127"/>
      <c r="R23" s="147"/>
      <c r="S23" s="238"/>
      <c r="T23" s="147"/>
      <c r="U23" s="164"/>
      <c r="V23" s="164"/>
      <c r="W23" s="50"/>
      <c r="X23" s="164"/>
    </row>
    <row r="24" spans="1:24" hidden="1">
      <c r="B24" s="34"/>
      <c r="C24" s="34"/>
      <c r="D24" s="72" t="s">
        <v>123</v>
      </c>
      <c r="E24" s="79" t="s">
        <v>147</v>
      </c>
      <c r="F24" s="96">
        <f t="shared" si="6"/>
        <v>0</v>
      </c>
      <c r="G24" s="100">
        <f t="shared" si="15"/>
        <v>0</v>
      </c>
      <c r="H24" s="105" t="e">
        <f t="shared" si="16"/>
        <v>#DIV/0!</v>
      </c>
      <c r="I24" s="112"/>
      <c r="J24" s="147"/>
      <c r="K24" s="105"/>
      <c r="L24" s="147"/>
      <c r="M24" s="164"/>
      <c r="N24" s="164"/>
      <c r="O24" s="50"/>
      <c r="P24" s="164"/>
      <c r="Q24" s="127"/>
      <c r="R24" s="147"/>
      <c r="S24" s="238"/>
      <c r="T24" s="147"/>
      <c r="U24" s="164"/>
      <c r="V24" s="164"/>
      <c r="W24" s="50"/>
      <c r="X24" s="164"/>
    </row>
    <row r="25" spans="1:24">
      <c r="B25" s="34"/>
      <c r="C25" s="34"/>
      <c r="D25" s="72" t="s">
        <v>124</v>
      </c>
      <c r="E25" s="79" t="s">
        <v>111</v>
      </c>
      <c r="F25" s="96">
        <f t="shared" si="6"/>
        <v>5678</v>
      </c>
      <c r="G25" s="100">
        <f t="shared" si="15"/>
        <v>5112.3900000000003</v>
      </c>
      <c r="H25" s="105">
        <f t="shared" si="16"/>
        <v>0.90038569918985567</v>
      </c>
      <c r="I25" s="112">
        <v>5678</v>
      </c>
      <c r="J25" s="147">
        <v>5112.3900000000003</v>
      </c>
      <c r="K25" s="105">
        <f t="shared" si="9"/>
        <v>0.90038569918985567</v>
      </c>
      <c r="L25" s="147">
        <v>5112.3900000000003</v>
      </c>
      <c r="M25" s="164"/>
      <c r="N25" s="164"/>
      <c r="O25" s="50"/>
      <c r="P25" s="164"/>
      <c r="Q25" s="127"/>
      <c r="R25" s="147"/>
      <c r="S25" s="238"/>
      <c r="T25" s="147"/>
      <c r="U25" s="164"/>
      <c r="V25" s="164"/>
      <c r="W25" s="50"/>
      <c r="X25" s="164"/>
    </row>
    <row r="26" spans="1:24">
      <c r="B26" s="34"/>
      <c r="C26" s="34"/>
      <c r="D26" s="70" t="s">
        <v>59</v>
      </c>
      <c r="E26" s="79" t="s">
        <v>119</v>
      </c>
      <c r="F26" s="96">
        <f t="shared" si="6"/>
        <v>0</v>
      </c>
      <c r="G26" s="100">
        <f t="shared" si="7"/>
        <v>396</v>
      </c>
      <c r="H26" s="105" t="e">
        <f t="shared" si="16"/>
        <v>#DIV/0!</v>
      </c>
      <c r="I26" s="112">
        <v>0</v>
      </c>
      <c r="J26" s="147">
        <v>396</v>
      </c>
      <c r="K26" s="105"/>
      <c r="L26" s="147"/>
      <c r="M26" s="164"/>
      <c r="N26" s="164"/>
      <c r="O26" s="50"/>
      <c r="P26" s="164"/>
      <c r="Q26" s="127"/>
      <c r="R26" s="147"/>
      <c r="S26" s="238"/>
      <c r="T26" s="147"/>
      <c r="U26" s="164"/>
      <c r="V26" s="164"/>
      <c r="W26" s="50"/>
      <c r="X26" s="164"/>
    </row>
    <row r="27" spans="1:24">
      <c r="B27" s="34"/>
      <c r="C27" s="34"/>
      <c r="D27" s="70" t="s">
        <v>160</v>
      </c>
      <c r="E27" s="79" t="s">
        <v>106</v>
      </c>
      <c r="F27" s="96">
        <f t="shared" si="6"/>
        <v>14237738</v>
      </c>
      <c r="G27" s="100">
        <f t="shared" si="7"/>
        <v>2178402.06</v>
      </c>
      <c r="H27" s="105">
        <f t="shared" si="16"/>
        <v>0.15300197685896455</v>
      </c>
      <c r="I27" s="112"/>
      <c r="J27" s="147"/>
      <c r="K27" s="105"/>
      <c r="L27" s="147"/>
      <c r="M27" s="164"/>
      <c r="N27" s="164"/>
      <c r="O27" s="50"/>
      <c r="P27" s="164"/>
      <c r="Q27" s="127">
        <v>14237738</v>
      </c>
      <c r="R27" s="147">
        <v>2178402.06</v>
      </c>
      <c r="S27" s="238">
        <f>SUM(R27/Q27)</f>
        <v>0.15300197685896455</v>
      </c>
      <c r="T27" s="147">
        <v>2178402.06</v>
      </c>
      <c r="U27" s="164"/>
      <c r="V27" s="164"/>
      <c r="W27" s="50"/>
      <c r="X27" s="164"/>
    </row>
    <row r="28" spans="1:24">
      <c r="B28" s="34"/>
      <c r="C28" s="34"/>
      <c r="D28" s="70" t="s">
        <v>19</v>
      </c>
      <c r="E28" s="79" t="s">
        <v>111</v>
      </c>
      <c r="F28" s="96">
        <f t="shared" si="6"/>
        <v>1308177</v>
      </c>
      <c r="G28" s="100">
        <f t="shared" si="7"/>
        <v>607867.41</v>
      </c>
      <c r="H28" s="105">
        <f t="shared" si="16"/>
        <v>0.46466755645451652</v>
      </c>
      <c r="I28" s="112"/>
      <c r="J28" s="147"/>
      <c r="K28" s="105"/>
      <c r="L28" s="147"/>
      <c r="M28" s="164"/>
      <c r="N28" s="164"/>
      <c r="O28" s="50"/>
      <c r="P28" s="164"/>
      <c r="Q28" s="131">
        <v>1308177</v>
      </c>
      <c r="R28" s="148">
        <v>607867.41</v>
      </c>
      <c r="S28" s="238">
        <f t="shared" si="13"/>
        <v>0.46466755645451652</v>
      </c>
      <c r="T28" s="148"/>
      <c r="U28" s="164"/>
      <c r="V28" s="164"/>
      <c r="W28" s="50"/>
      <c r="X28" s="200"/>
    </row>
    <row r="29" spans="1:24">
      <c r="B29" s="34"/>
      <c r="C29" s="34"/>
      <c r="D29" s="70" t="s">
        <v>176</v>
      </c>
      <c r="E29" s="79" t="s">
        <v>111</v>
      </c>
      <c r="F29" s="96">
        <f t="shared" si="6"/>
        <v>1931710</v>
      </c>
      <c r="G29" s="100">
        <f t="shared" si="7"/>
        <v>1594024.35</v>
      </c>
      <c r="H29" s="105">
        <f t="shared" si="16"/>
        <v>0.8251882270113009</v>
      </c>
      <c r="I29" s="112"/>
      <c r="J29" s="147"/>
      <c r="K29" s="105"/>
      <c r="L29" s="147"/>
      <c r="M29" s="164"/>
      <c r="N29" s="164"/>
      <c r="O29" s="50"/>
      <c r="P29" s="164"/>
      <c r="Q29" s="131">
        <v>1931710</v>
      </c>
      <c r="R29" s="148">
        <v>1594024.35</v>
      </c>
      <c r="S29" s="238">
        <f t="shared" si="13"/>
        <v>0.8251882270113009</v>
      </c>
      <c r="T29" s="148">
        <v>1594024.35</v>
      </c>
      <c r="U29" s="164"/>
      <c r="V29" s="164"/>
      <c r="W29" s="50"/>
      <c r="X29" s="200"/>
    </row>
    <row r="30" spans="1:24" hidden="1">
      <c r="B30" s="34"/>
      <c r="C30" s="34"/>
      <c r="D30" s="70" t="s">
        <v>114</v>
      </c>
      <c r="E30" s="79" t="s">
        <v>134</v>
      </c>
      <c r="F30" s="96">
        <f t="shared" si="6"/>
        <v>0</v>
      </c>
      <c r="G30" s="100">
        <f t="shared" si="7"/>
        <v>0</v>
      </c>
      <c r="H30" s="105" t="e">
        <f t="shared" si="16"/>
        <v>#DIV/0!</v>
      </c>
      <c r="I30" s="112"/>
      <c r="J30" s="147"/>
      <c r="K30" s="105"/>
      <c r="L30" s="147"/>
      <c r="M30" s="164"/>
      <c r="N30" s="164"/>
      <c r="O30" s="50"/>
      <c r="P30" s="164"/>
      <c r="Q30" s="264"/>
      <c r="R30" s="148"/>
      <c r="S30" s="238" t="e">
        <f t="shared" si="13"/>
        <v>#DIV/0!</v>
      </c>
      <c r="T30" s="148"/>
      <c r="U30" s="164"/>
      <c r="V30" s="164"/>
      <c r="W30" s="50"/>
      <c r="X30" s="200"/>
    </row>
    <row r="31" spans="1:24" hidden="1">
      <c r="B31" s="34"/>
      <c r="C31" s="34"/>
      <c r="D31" s="70" t="s">
        <v>177</v>
      </c>
      <c r="E31" s="79" t="s">
        <v>147</v>
      </c>
      <c r="F31" s="96">
        <f t="shared" si="6"/>
        <v>0</v>
      </c>
      <c r="G31" s="100">
        <f t="shared" si="7"/>
        <v>0</v>
      </c>
      <c r="H31" s="105" t="e">
        <f t="shared" si="8"/>
        <v>#DIV/0!</v>
      </c>
      <c r="I31" s="112"/>
      <c r="J31" s="147"/>
      <c r="K31" s="105"/>
      <c r="L31" s="147"/>
      <c r="M31" s="164"/>
      <c r="N31" s="164"/>
      <c r="O31" s="50"/>
      <c r="P31" s="164"/>
      <c r="Q31" s="264"/>
      <c r="R31" s="148"/>
      <c r="S31" s="238" t="e">
        <f t="shared" si="13"/>
        <v>#DIV/0!</v>
      </c>
      <c r="T31" s="148"/>
      <c r="U31" s="164"/>
      <c r="V31" s="164"/>
      <c r="W31" s="50"/>
      <c r="X31" s="200"/>
    </row>
    <row r="32" spans="1:24" s="6" customFormat="1">
      <c r="A32" s="229"/>
      <c r="B32" s="33"/>
      <c r="C32" s="33">
        <v>60095</v>
      </c>
      <c r="D32" s="67"/>
      <c r="E32" s="78" t="s">
        <v>64</v>
      </c>
      <c r="F32" s="95">
        <f t="shared" si="6"/>
        <v>2061033</v>
      </c>
      <c r="G32" s="99">
        <f t="shared" si="7"/>
        <v>913417.33</v>
      </c>
      <c r="H32" s="104">
        <f t="shared" si="8"/>
        <v>0.44318423334318274</v>
      </c>
      <c r="I32" s="108">
        <f>SUM(I33:I39)</f>
        <v>2058473</v>
      </c>
      <c r="J32" s="143">
        <f>SUM(J33:J39)</f>
        <v>910507.33</v>
      </c>
      <c r="K32" s="104">
        <f t="shared" si="9"/>
        <v>0.44232172586184026</v>
      </c>
      <c r="L32" s="143">
        <f t="shared" ref="L32:R32" si="17">SUM(L33:L39)</f>
        <v>0</v>
      </c>
      <c r="M32" s="163">
        <f t="shared" si="17"/>
        <v>0</v>
      </c>
      <c r="N32" s="163">
        <f t="shared" si="17"/>
        <v>0</v>
      </c>
      <c r="O32" s="49">
        <f t="shared" si="17"/>
        <v>0</v>
      </c>
      <c r="P32" s="163">
        <f t="shared" si="17"/>
        <v>0</v>
      </c>
      <c r="Q32" s="126">
        <f t="shared" si="17"/>
        <v>2560</v>
      </c>
      <c r="R32" s="143">
        <f t="shared" si="17"/>
        <v>2910</v>
      </c>
      <c r="S32" s="237">
        <f>SUM(R32/Q32)</f>
        <v>1.13671875</v>
      </c>
      <c r="T32" s="143">
        <f>SUM(T33:T39)</f>
        <v>0</v>
      </c>
      <c r="U32" s="163">
        <f>SUM(U33:U39)</f>
        <v>0</v>
      </c>
      <c r="V32" s="163">
        <f>SUM(V33:V39)</f>
        <v>0</v>
      </c>
      <c r="W32" s="49">
        <f>SUM(W33:W39)</f>
        <v>0</v>
      </c>
      <c r="X32" s="163">
        <f>SUM(X33:X39)</f>
        <v>0</v>
      </c>
    </row>
    <row r="33" spans="1:24">
      <c r="B33" s="34"/>
      <c r="C33" s="34"/>
      <c r="D33" s="70" t="s">
        <v>20</v>
      </c>
      <c r="E33" s="79" t="s">
        <v>21</v>
      </c>
      <c r="F33" s="96">
        <f t="shared" si="6"/>
        <v>1725192</v>
      </c>
      <c r="G33" s="100">
        <f t="shared" si="7"/>
        <v>762370.25</v>
      </c>
      <c r="H33" s="105">
        <f t="shared" si="8"/>
        <v>0.44190458221461726</v>
      </c>
      <c r="I33" s="109">
        <v>1725192</v>
      </c>
      <c r="J33" s="144">
        <v>762370.25</v>
      </c>
      <c r="K33" s="105">
        <f t="shared" si="9"/>
        <v>0.44190458221461726</v>
      </c>
      <c r="L33" s="147"/>
      <c r="M33" s="164"/>
      <c r="N33" s="164"/>
      <c r="O33" s="50"/>
      <c r="P33" s="164"/>
      <c r="Q33" s="127">
        <v>0</v>
      </c>
      <c r="R33" s="147"/>
      <c r="S33" s="238"/>
      <c r="T33" s="147"/>
      <c r="U33" s="164"/>
      <c r="V33" s="164"/>
      <c r="W33" s="50"/>
      <c r="X33" s="164"/>
    </row>
    <row r="34" spans="1:24">
      <c r="B34" s="34"/>
      <c r="C34" s="34"/>
      <c r="D34" s="72" t="s">
        <v>157</v>
      </c>
      <c r="E34" s="79" t="s">
        <v>164</v>
      </c>
      <c r="F34" s="96">
        <f t="shared" si="6"/>
        <v>228607</v>
      </c>
      <c r="G34" s="100">
        <f t="shared" si="7"/>
        <v>100964</v>
      </c>
      <c r="H34" s="105">
        <f t="shared" si="8"/>
        <v>0.44164876841041611</v>
      </c>
      <c r="I34" s="109">
        <v>228607</v>
      </c>
      <c r="J34" s="144">
        <v>100964</v>
      </c>
      <c r="K34" s="105">
        <f t="shared" si="9"/>
        <v>0.44164876841041611</v>
      </c>
      <c r="L34" s="147"/>
      <c r="M34" s="164"/>
      <c r="N34" s="164"/>
      <c r="O34" s="50"/>
      <c r="P34" s="164"/>
      <c r="Q34" s="127"/>
      <c r="R34" s="147"/>
      <c r="S34" s="238"/>
      <c r="T34" s="147"/>
      <c r="U34" s="164"/>
      <c r="V34" s="164"/>
      <c r="W34" s="50"/>
      <c r="X34" s="164"/>
    </row>
    <row r="35" spans="1:24">
      <c r="B35" s="34"/>
      <c r="C35" s="34"/>
      <c r="D35" s="70" t="s">
        <v>12</v>
      </c>
      <c r="E35" s="79" t="s">
        <v>13</v>
      </c>
      <c r="F35" s="96">
        <f t="shared" si="6"/>
        <v>27814</v>
      </c>
      <c r="G35" s="100">
        <f t="shared" si="7"/>
        <v>15354.9</v>
      </c>
      <c r="H35" s="105">
        <f t="shared" si="8"/>
        <v>0.55205651830013658</v>
      </c>
      <c r="I35" s="109">
        <v>27814</v>
      </c>
      <c r="J35" s="144">
        <v>15354.9</v>
      </c>
      <c r="K35" s="105">
        <f t="shared" si="9"/>
        <v>0.55205651830013658</v>
      </c>
      <c r="L35" s="147"/>
      <c r="M35" s="167"/>
      <c r="N35" s="164"/>
      <c r="O35" s="50"/>
      <c r="P35" s="164"/>
      <c r="Q35" s="127">
        <v>0</v>
      </c>
      <c r="R35" s="147"/>
      <c r="S35" s="238"/>
      <c r="T35" s="147"/>
      <c r="U35" s="164"/>
      <c r="V35" s="164"/>
      <c r="W35" s="50"/>
      <c r="X35" s="164"/>
    </row>
    <row r="36" spans="1:24">
      <c r="B36" s="34"/>
      <c r="C36" s="34"/>
      <c r="D36" s="70" t="s">
        <v>61</v>
      </c>
      <c r="E36" s="79" t="s">
        <v>62</v>
      </c>
      <c r="F36" s="96">
        <f t="shared" si="6"/>
        <v>2560</v>
      </c>
      <c r="G36" s="100">
        <f t="shared" si="7"/>
        <v>2910</v>
      </c>
      <c r="H36" s="105">
        <f t="shared" si="8"/>
        <v>1.13671875</v>
      </c>
      <c r="I36" s="109"/>
      <c r="J36" s="144"/>
      <c r="K36" s="105"/>
      <c r="L36" s="147"/>
      <c r="M36" s="167"/>
      <c r="N36" s="164"/>
      <c r="O36" s="50"/>
      <c r="P36" s="164"/>
      <c r="Q36" s="127">
        <v>2560</v>
      </c>
      <c r="R36" s="147">
        <v>2910</v>
      </c>
      <c r="S36" s="238">
        <f>SUM(R36/Q36)</f>
        <v>1.13671875</v>
      </c>
      <c r="T36" s="147"/>
      <c r="U36" s="164"/>
      <c r="V36" s="164"/>
      <c r="W36" s="50"/>
      <c r="X36" s="164"/>
    </row>
    <row r="37" spans="1:24">
      <c r="B37" s="34"/>
      <c r="C37" s="34"/>
      <c r="D37" s="70" t="s">
        <v>29</v>
      </c>
      <c r="E37" s="79" t="s">
        <v>163</v>
      </c>
      <c r="F37" s="96">
        <f t="shared" si="6"/>
        <v>1779</v>
      </c>
      <c r="G37" s="100">
        <f t="shared" si="7"/>
        <v>913.07</v>
      </c>
      <c r="H37" s="105">
        <f t="shared" si="8"/>
        <v>0.51324901630129294</v>
      </c>
      <c r="I37" s="109">
        <v>1779</v>
      </c>
      <c r="J37" s="144">
        <v>913.07</v>
      </c>
      <c r="K37" s="105">
        <f t="shared" si="9"/>
        <v>0.51324901630129294</v>
      </c>
      <c r="L37" s="147"/>
      <c r="M37" s="164"/>
      <c r="N37" s="164"/>
      <c r="O37" s="50"/>
      <c r="P37" s="164"/>
      <c r="Q37" s="127">
        <v>0</v>
      </c>
      <c r="R37" s="147"/>
      <c r="S37" s="238"/>
      <c r="T37" s="147"/>
      <c r="U37" s="164"/>
      <c r="V37" s="164"/>
      <c r="W37" s="50"/>
      <c r="X37" s="164"/>
    </row>
    <row r="38" spans="1:24">
      <c r="B38" s="34"/>
      <c r="C38" s="34"/>
      <c r="D38" s="70" t="s">
        <v>7</v>
      </c>
      <c r="E38" s="79" t="s">
        <v>8</v>
      </c>
      <c r="F38" s="96">
        <f t="shared" si="6"/>
        <v>52671</v>
      </c>
      <c r="G38" s="100">
        <f t="shared" si="7"/>
        <v>20236.57</v>
      </c>
      <c r="H38" s="105">
        <f t="shared" si="8"/>
        <v>0.38420705891287427</v>
      </c>
      <c r="I38" s="109">
        <v>52671</v>
      </c>
      <c r="J38" s="144">
        <v>20236.57</v>
      </c>
      <c r="K38" s="105">
        <f>SUM(J38/I38)</f>
        <v>0.38420705891287427</v>
      </c>
      <c r="L38" s="147"/>
      <c r="M38" s="164"/>
      <c r="N38" s="164"/>
      <c r="O38" s="50"/>
      <c r="P38" s="164"/>
      <c r="Q38" s="127">
        <v>0</v>
      </c>
      <c r="R38" s="147"/>
      <c r="S38" s="238"/>
      <c r="T38" s="147"/>
      <c r="U38" s="164"/>
      <c r="V38" s="164"/>
      <c r="W38" s="50"/>
      <c r="X38" s="164"/>
    </row>
    <row r="39" spans="1:24">
      <c r="B39" s="34"/>
      <c r="C39" s="34"/>
      <c r="D39" s="70" t="s">
        <v>17</v>
      </c>
      <c r="E39" s="79" t="s">
        <v>112</v>
      </c>
      <c r="F39" s="96">
        <f t="shared" si="6"/>
        <v>22410</v>
      </c>
      <c r="G39" s="100">
        <f t="shared" si="7"/>
        <v>10668.54</v>
      </c>
      <c r="H39" s="105">
        <f t="shared" si="8"/>
        <v>0.47606157965194112</v>
      </c>
      <c r="I39" s="109">
        <v>22410</v>
      </c>
      <c r="J39" s="144">
        <v>10668.54</v>
      </c>
      <c r="K39" s="105">
        <f>SUM(J39/I39)</f>
        <v>0.47606157965194112</v>
      </c>
      <c r="L39" s="147"/>
      <c r="M39" s="164"/>
      <c r="N39" s="164"/>
      <c r="O39" s="50"/>
      <c r="P39" s="167"/>
      <c r="Q39" s="127">
        <v>0</v>
      </c>
      <c r="R39" s="147"/>
      <c r="S39" s="238"/>
      <c r="T39" s="147"/>
      <c r="U39" s="164"/>
      <c r="V39" s="164"/>
      <c r="W39" s="50"/>
      <c r="X39" s="164"/>
    </row>
    <row r="40" spans="1:24">
      <c r="B40" s="36">
        <v>630</v>
      </c>
      <c r="C40" s="36"/>
      <c r="D40" s="71"/>
      <c r="E40" s="81" t="s">
        <v>178</v>
      </c>
      <c r="F40" s="97">
        <f>SUM(F41)</f>
        <v>3521469</v>
      </c>
      <c r="G40" s="101">
        <f>SUM(G41)</f>
        <v>15096.59</v>
      </c>
      <c r="H40" s="106">
        <f t="shared" ref="H40" si="18">SUM(G40/F40)</f>
        <v>4.2870148793017916E-3</v>
      </c>
      <c r="I40" s="110">
        <f>SUM(I41)</f>
        <v>30600</v>
      </c>
      <c r="J40" s="145">
        <f>SUM(J41)</f>
        <v>15096.59</v>
      </c>
      <c r="K40" s="106">
        <f t="shared" ref="K40" si="19">SUM(J40/I40)</f>
        <v>0.49335261437908495</v>
      </c>
      <c r="L40" s="145">
        <f>SUM(L41)</f>
        <v>15096.59</v>
      </c>
      <c r="M40" s="166">
        <f t="shared" ref="M40:X40" si="20">SUM(M41)</f>
        <v>0</v>
      </c>
      <c r="N40" s="166">
        <f t="shared" si="20"/>
        <v>0</v>
      </c>
      <c r="O40" s="52">
        <f t="shared" si="20"/>
        <v>0</v>
      </c>
      <c r="P40" s="166">
        <f t="shared" si="20"/>
        <v>0</v>
      </c>
      <c r="Q40" s="129">
        <f t="shared" si="20"/>
        <v>3490869</v>
      </c>
      <c r="R40" s="145">
        <f t="shared" si="20"/>
        <v>0</v>
      </c>
      <c r="S40" s="239">
        <f>SUM(R40/Q40)</f>
        <v>0</v>
      </c>
      <c r="T40" s="145">
        <f t="shared" si="20"/>
        <v>0</v>
      </c>
      <c r="U40" s="166">
        <f t="shared" si="20"/>
        <v>0</v>
      </c>
      <c r="V40" s="166">
        <f t="shared" si="20"/>
        <v>0</v>
      </c>
      <c r="W40" s="52">
        <f t="shared" si="20"/>
        <v>0</v>
      </c>
      <c r="X40" s="166">
        <f t="shared" si="20"/>
        <v>0</v>
      </c>
    </row>
    <row r="41" spans="1:24">
      <c r="B41" s="33"/>
      <c r="C41" s="33">
        <v>63003</v>
      </c>
      <c r="D41" s="67"/>
      <c r="E41" s="78" t="s">
        <v>179</v>
      </c>
      <c r="F41" s="95">
        <f t="shared" ref="F41:F43" si="21">SUM(I41+Q41)</f>
        <v>3521469</v>
      </c>
      <c r="G41" s="99">
        <f t="shared" ref="G41:G43" si="22">SUM(J41+R41)</f>
        <v>15096.59</v>
      </c>
      <c r="H41" s="104">
        <f t="shared" ref="H41" si="23">SUM(G41/F41)</f>
        <v>4.2870148793017916E-3</v>
      </c>
      <c r="I41" s="108">
        <f>SUM(I42:I44)</f>
        <v>30600</v>
      </c>
      <c r="J41" s="143">
        <f>SUM(J42:J43)</f>
        <v>15096.59</v>
      </c>
      <c r="K41" s="104">
        <f t="shared" ref="K41" si="24">SUM(J41/I41)</f>
        <v>0.49335261437908495</v>
      </c>
      <c r="L41" s="143">
        <f t="shared" ref="L41:R41" si="25">SUM(L42:L43)</f>
        <v>15096.59</v>
      </c>
      <c r="M41" s="163">
        <f t="shared" si="25"/>
        <v>0</v>
      </c>
      <c r="N41" s="163">
        <f t="shared" si="25"/>
        <v>0</v>
      </c>
      <c r="O41" s="49">
        <f t="shared" si="25"/>
        <v>0</v>
      </c>
      <c r="P41" s="163">
        <f t="shared" si="25"/>
        <v>0</v>
      </c>
      <c r="Q41" s="126">
        <f>SUM(Q42:Q44)</f>
        <v>3490869</v>
      </c>
      <c r="R41" s="143">
        <f t="shared" si="25"/>
        <v>0</v>
      </c>
      <c r="S41" s="237"/>
      <c r="T41" s="143">
        <f>SUM(T42:T43)</f>
        <v>0</v>
      </c>
      <c r="U41" s="163">
        <f>SUM(U42:U43)</f>
        <v>0</v>
      </c>
      <c r="V41" s="163">
        <f>SUM(V42:V43)</f>
        <v>0</v>
      </c>
      <c r="W41" s="49">
        <f>SUM(W42:W43)</f>
        <v>0</v>
      </c>
      <c r="X41" s="163">
        <f>SUM(X42:X43)</f>
        <v>0</v>
      </c>
    </row>
    <row r="42" spans="1:24">
      <c r="B42" s="34"/>
      <c r="C42" s="34"/>
      <c r="D42" s="70" t="s">
        <v>156</v>
      </c>
      <c r="E42" s="79" t="s">
        <v>106</v>
      </c>
      <c r="F42" s="96">
        <f t="shared" si="21"/>
        <v>30600</v>
      </c>
      <c r="G42" s="100">
        <f t="shared" si="22"/>
        <v>15096.59</v>
      </c>
      <c r="H42" s="105">
        <f>SUM(G42/F42)</f>
        <v>0.49335261437908495</v>
      </c>
      <c r="I42" s="112">
        <v>30600</v>
      </c>
      <c r="J42" s="147">
        <v>15096.59</v>
      </c>
      <c r="K42" s="105">
        <f>SUM(J42/I42)</f>
        <v>0.49335261437908495</v>
      </c>
      <c r="L42" s="147">
        <v>15096.59</v>
      </c>
      <c r="M42" s="164"/>
      <c r="N42" s="164"/>
      <c r="O42" s="50"/>
      <c r="P42" s="164"/>
      <c r="Q42" s="127"/>
      <c r="R42" s="147"/>
      <c r="S42" s="238"/>
      <c r="T42" s="147"/>
      <c r="U42" s="164"/>
      <c r="V42" s="164"/>
      <c r="W42" s="50"/>
      <c r="X42" s="164"/>
    </row>
    <row r="43" spans="1:24">
      <c r="B43" s="34"/>
      <c r="C43" s="34"/>
      <c r="D43" s="70" t="s">
        <v>160</v>
      </c>
      <c r="E43" s="79" t="s">
        <v>106</v>
      </c>
      <c r="F43" s="96">
        <f t="shared" si="21"/>
        <v>3465869</v>
      </c>
      <c r="G43" s="100">
        <f t="shared" si="22"/>
        <v>0</v>
      </c>
      <c r="H43" s="105">
        <f t="shared" ref="H43" si="26">SUM(G43/F43)</f>
        <v>0</v>
      </c>
      <c r="I43" s="109"/>
      <c r="J43" s="148"/>
      <c r="K43" s="105"/>
      <c r="L43" s="147"/>
      <c r="M43" s="164"/>
      <c r="N43" s="200"/>
      <c r="O43" s="50"/>
      <c r="P43" s="164"/>
      <c r="Q43" s="127">
        <v>3465869</v>
      </c>
      <c r="R43" s="147"/>
      <c r="S43" s="238"/>
      <c r="T43" s="147"/>
      <c r="U43" s="164"/>
      <c r="V43" s="164"/>
      <c r="W43" s="50"/>
      <c r="X43" s="164"/>
    </row>
    <row r="44" spans="1:24">
      <c r="B44" s="34"/>
      <c r="C44" s="34"/>
      <c r="D44" s="70" t="s">
        <v>194</v>
      </c>
      <c r="E44" s="253" t="s">
        <v>201</v>
      </c>
      <c r="F44" s="96">
        <f t="shared" ref="F44" si="27">SUM(I44+Q44)</f>
        <v>25000</v>
      </c>
      <c r="G44" s="100">
        <f t="shared" ref="G44" si="28">SUM(J44+R44)</f>
        <v>0</v>
      </c>
      <c r="H44" s="105">
        <f t="shared" ref="H44" si="29">SUM(G44/F44)</f>
        <v>0</v>
      </c>
      <c r="I44" s="109"/>
      <c r="J44" s="148"/>
      <c r="K44" s="105"/>
      <c r="L44" s="147"/>
      <c r="M44" s="164"/>
      <c r="N44" s="200"/>
      <c r="O44" s="50"/>
      <c r="P44" s="164"/>
      <c r="Q44" s="127">
        <v>25000</v>
      </c>
      <c r="R44" s="147"/>
      <c r="S44" s="238"/>
      <c r="T44" s="147"/>
      <c r="U44" s="164"/>
      <c r="V44" s="164"/>
      <c r="W44" s="50"/>
      <c r="X44" s="164"/>
    </row>
    <row r="45" spans="1:24" s="5" customFormat="1">
      <c r="A45" s="9"/>
      <c r="B45" s="36">
        <v>700</v>
      </c>
      <c r="C45" s="36"/>
      <c r="D45" s="71"/>
      <c r="E45" s="81" t="s">
        <v>24</v>
      </c>
      <c r="F45" s="97">
        <f t="shared" si="6"/>
        <v>476180</v>
      </c>
      <c r="G45" s="101">
        <f t="shared" si="7"/>
        <v>401899.4</v>
      </c>
      <c r="H45" s="106">
        <f t="shared" si="8"/>
        <v>0.84400730816077962</v>
      </c>
      <c r="I45" s="110">
        <f t="shared" ref="I45:X45" si="30">SUM(I46)</f>
        <v>476180</v>
      </c>
      <c r="J45" s="145">
        <f t="shared" si="30"/>
        <v>401899.4</v>
      </c>
      <c r="K45" s="106">
        <f t="shared" si="9"/>
        <v>0.84400730816077962</v>
      </c>
      <c r="L45" s="145">
        <f t="shared" si="30"/>
        <v>0</v>
      </c>
      <c r="M45" s="166">
        <f t="shared" si="30"/>
        <v>0</v>
      </c>
      <c r="N45" s="166">
        <f t="shared" si="30"/>
        <v>69202.33</v>
      </c>
      <c r="O45" s="52">
        <f t="shared" si="30"/>
        <v>0</v>
      </c>
      <c r="P45" s="166">
        <f t="shared" si="30"/>
        <v>0</v>
      </c>
      <c r="Q45" s="129">
        <f t="shared" si="30"/>
        <v>0</v>
      </c>
      <c r="R45" s="145">
        <f t="shared" si="30"/>
        <v>0</v>
      </c>
      <c r="S45" s="239" t="e">
        <f>SUM(R45/Q45)</f>
        <v>#DIV/0!</v>
      </c>
      <c r="T45" s="145">
        <f t="shared" si="30"/>
        <v>0</v>
      </c>
      <c r="U45" s="166">
        <f t="shared" si="30"/>
        <v>0</v>
      </c>
      <c r="V45" s="166">
        <f t="shared" si="30"/>
        <v>0</v>
      </c>
      <c r="W45" s="52">
        <f t="shared" si="30"/>
        <v>0</v>
      </c>
      <c r="X45" s="166">
        <f t="shared" si="30"/>
        <v>0</v>
      </c>
    </row>
    <row r="46" spans="1:24" s="6" customFormat="1">
      <c r="A46" s="229"/>
      <c r="B46" s="33"/>
      <c r="C46" s="33">
        <v>70005</v>
      </c>
      <c r="D46" s="67"/>
      <c r="E46" s="78" t="s">
        <v>132</v>
      </c>
      <c r="F46" s="95">
        <f t="shared" si="6"/>
        <v>476180</v>
      </c>
      <c r="G46" s="99">
        <f t="shared" si="7"/>
        <v>401899.4</v>
      </c>
      <c r="H46" s="104">
        <f t="shared" si="8"/>
        <v>0.84400730816077962</v>
      </c>
      <c r="I46" s="111">
        <f>SUM(I47:I56)</f>
        <v>476180</v>
      </c>
      <c r="J46" s="146">
        <f>SUM(J47:J56)</f>
        <v>401899.4</v>
      </c>
      <c r="K46" s="104">
        <f t="shared" si="9"/>
        <v>0.84400730816077962</v>
      </c>
      <c r="L46" s="146">
        <f t="shared" ref="L46:R46" si="31">SUM(L47:L56)</f>
        <v>0</v>
      </c>
      <c r="M46" s="168">
        <f t="shared" si="31"/>
        <v>0</v>
      </c>
      <c r="N46" s="168">
        <f t="shared" si="31"/>
        <v>69202.33</v>
      </c>
      <c r="O46" s="53">
        <f t="shared" si="31"/>
        <v>0</v>
      </c>
      <c r="P46" s="168">
        <f t="shared" si="31"/>
        <v>0</v>
      </c>
      <c r="Q46" s="130">
        <f t="shared" si="31"/>
        <v>0</v>
      </c>
      <c r="R46" s="146">
        <f t="shared" si="31"/>
        <v>0</v>
      </c>
      <c r="S46" s="237" t="e">
        <f t="shared" si="13"/>
        <v>#DIV/0!</v>
      </c>
      <c r="T46" s="146">
        <f>SUM(T47:T56)</f>
        <v>0</v>
      </c>
      <c r="U46" s="168">
        <f>SUM(U47:U56)</f>
        <v>0</v>
      </c>
      <c r="V46" s="168">
        <f>SUM(V47:V56)</f>
        <v>0</v>
      </c>
      <c r="W46" s="53">
        <f>SUM(W47:W56)</f>
        <v>0</v>
      </c>
      <c r="X46" s="168">
        <f>SUM(X47:X56)</f>
        <v>0</v>
      </c>
    </row>
    <row r="47" spans="1:24" s="2" customFormat="1">
      <c r="A47" s="230"/>
      <c r="B47" s="34"/>
      <c r="C47" s="34"/>
      <c r="D47" s="70" t="s">
        <v>22</v>
      </c>
      <c r="E47" s="79" t="s">
        <v>23</v>
      </c>
      <c r="F47" s="96">
        <f t="shared" si="6"/>
        <v>0</v>
      </c>
      <c r="G47" s="100">
        <f t="shared" si="7"/>
        <v>710</v>
      </c>
      <c r="H47" s="105"/>
      <c r="I47" s="113">
        <v>0</v>
      </c>
      <c r="J47" s="144">
        <v>710</v>
      </c>
      <c r="K47" s="105"/>
      <c r="L47" s="147"/>
      <c r="M47" s="164"/>
      <c r="N47" s="164"/>
      <c r="O47" s="50"/>
      <c r="P47" s="164"/>
      <c r="Q47" s="127"/>
      <c r="R47" s="147"/>
      <c r="S47" s="238"/>
      <c r="T47" s="147"/>
      <c r="U47" s="164"/>
      <c r="V47" s="164"/>
      <c r="W47" s="50"/>
      <c r="X47" s="164"/>
    </row>
    <row r="48" spans="1:24" s="2" customFormat="1" hidden="1">
      <c r="A48" s="230"/>
      <c r="B48" s="34"/>
      <c r="C48" s="34"/>
      <c r="D48" s="72" t="s">
        <v>180</v>
      </c>
      <c r="E48" s="79" t="s">
        <v>181</v>
      </c>
      <c r="F48" s="96">
        <f t="shared" si="6"/>
        <v>0</v>
      </c>
      <c r="G48" s="100">
        <f t="shared" si="7"/>
        <v>0</v>
      </c>
      <c r="H48" s="105"/>
      <c r="I48" s="113">
        <v>0</v>
      </c>
      <c r="J48" s="144">
        <v>0</v>
      </c>
      <c r="K48" s="105"/>
      <c r="L48" s="147"/>
      <c r="M48" s="164"/>
      <c r="N48" s="164"/>
      <c r="O48" s="50"/>
      <c r="P48" s="164"/>
      <c r="Q48" s="127"/>
      <c r="R48" s="147"/>
      <c r="S48" s="238"/>
      <c r="T48" s="147"/>
      <c r="U48" s="164"/>
      <c r="V48" s="164"/>
      <c r="W48" s="50"/>
      <c r="X48" s="164"/>
    </row>
    <row r="49" spans="1:24" s="2" customFormat="1" hidden="1">
      <c r="A49" s="230"/>
      <c r="B49" s="34"/>
      <c r="C49" s="34"/>
      <c r="D49" s="70" t="s">
        <v>120</v>
      </c>
      <c r="E49" s="79" t="s">
        <v>121</v>
      </c>
      <c r="F49" s="96">
        <f t="shared" si="6"/>
        <v>0</v>
      </c>
      <c r="G49" s="100">
        <f t="shared" si="7"/>
        <v>0</v>
      </c>
      <c r="H49" s="105" t="e">
        <f t="shared" si="8"/>
        <v>#DIV/0!</v>
      </c>
      <c r="I49" s="113"/>
      <c r="J49" s="144"/>
      <c r="K49" s="105"/>
      <c r="L49" s="147"/>
      <c r="M49" s="164"/>
      <c r="N49" s="164"/>
      <c r="O49" s="50"/>
      <c r="P49" s="164"/>
      <c r="Q49" s="127"/>
      <c r="R49" s="147"/>
      <c r="S49" s="238"/>
      <c r="T49" s="147"/>
      <c r="U49" s="164"/>
      <c r="V49" s="164"/>
      <c r="W49" s="50"/>
      <c r="X49" s="164"/>
    </row>
    <row r="50" spans="1:24" s="2" customFormat="1" hidden="1">
      <c r="A50" s="230"/>
      <c r="B50" s="34"/>
      <c r="C50" s="34"/>
      <c r="D50" s="72" t="s">
        <v>29</v>
      </c>
      <c r="E50" s="79" t="s">
        <v>163</v>
      </c>
      <c r="F50" s="96">
        <f t="shared" si="6"/>
        <v>0</v>
      </c>
      <c r="G50" s="100">
        <f t="shared" si="7"/>
        <v>0</v>
      </c>
      <c r="H50" s="105"/>
      <c r="I50" s="113"/>
      <c r="J50" s="144"/>
      <c r="K50" s="105"/>
      <c r="L50" s="147"/>
      <c r="M50" s="164"/>
      <c r="N50" s="164"/>
      <c r="O50" s="50"/>
      <c r="P50" s="164"/>
      <c r="Q50" s="127"/>
      <c r="R50" s="147"/>
      <c r="S50" s="238"/>
      <c r="T50" s="147"/>
      <c r="U50" s="164"/>
      <c r="V50" s="164"/>
      <c r="W50" s="50"/>
      <c r="X50" s="164"/>
    </row>
    <row r="51" spans="1:24">
      <c r="B51" s="34"/>
      <c r="C51" s="34"/>
      <c r="D51" s="70" t="s">
        <v>7</v>
      </c>
      <c r="E51" s="79" t="s">
        <v>8</v>
      </c>
      <c r="F51" s="96">
        <f t="shared" si="6"/>
        <v>2000</v>
      </c>
      <c r="G51" s="100">
        <f t="shared" si="7"/>
        <v>10103.19</v>
      </c>
      <c r="H51" s="105">
        <f t="shared" si="8"/>
        <v>5.0515949999999998</v>
      </c>
      <c r="I51" s="114">
        <v>2000</v>
      </c>
      <c r="J51" s="144">
        <v>10103.19</v>
      </c>
      <c r="K51" s="105">
        <f t="shared" si="9"/>
        <v>5.0515949999999998</v>
      </c>
      <c r="L51" s="147"/>
      <c r="M51" s="164"/>
      <c r="N51" s="164"/>
      <c r="O51" s="50"/>
      <c r="P51" s="164"/>
      <c r="Q51" s="127"/>
      <c r="R51" s="147"/>
      <c r="S51" s="238"/>
      <c r="T51" s="147"/>
      <c r="U51" s="164"/>
      <c r="V51" s="164"/>
      <c r="W51" s="50"/>
      <c r="X51" s="164"/>
    </row>
    <row r="52" spans="1:24">
      <c r="B52" s="34"/>
      <c r="C52" s="34"/>
      <c r="D52" s="70" t="s">
        <v>27</v>
      </c>
      <c r="E52" s="82" t="s">
        <v>118</v>
      </c>
      <c r="F52" s="96">
        <f t="shared" si="6"/>
        <v>132513</v>
      </c>
      <c r="G52" s="100">
        <f t="shared" si="7"/>
        <v>69202.33</v>
      </c>
      <c r="H52" s="105">
        <f t="shared" si="8"/>
        <v>0.52223049813980515</v>
      </c>
      <c r="I52" s="115">
        <v>132513</v>
      </c>
      <c r="J52" s="144">
        <v>69202.33</v>
      </c>
      <c r="K52" s="105">
        <f t="shared" si="9"/>
        <v>0.52223049813980515</v>
      </c>
      <c r="L52" s="147"/>
      <c r="M52" s="164"/>
      <c r="N52" s="167">
        <v>69202.33</v>
      </c>
      <c r="O52" s="50"/>
      <c r="P52" s="164"/>
      <c r="Q52" s="127"/>
      <c r="R52" s="147"/>
      <c r="S52" s="238"/>
      <c r="T52" s="147"/>
      <c r="U52" s="164"/>
      <c r="V52" s="164"/>
      <c r="W52" s="50"/>
      <c r="X52" s="164"/>
    </row>
    <row r="53" spans="1:24">
      <c r="B53" s="34"/>
      <c r="C53" s="34"/>
      <c r="D53" s="70" t="s">
        <v>184</v>
      </c>
      <c r="E53" s="79" t="s">
        <v>185</v>
      </c>
      <c r="F53" s="96">
        <f t="shared" si="6"/>
        <v>15000</v>
      </c>
      <c r="G53" s="100"/>
      <c r="H53" s="105"/>
      <c r="I53" s="115">
        <v>15000</v>
      </c>
      <c r="J53" s="144"/>
      <c r="K53" s="105"/>
      <c r="L53" s="147"/>
      <c r="M53" s="164"/>
      <c r="N53" s="167"/>
      <c r="O53" s="50"/>
      <c r="P53" s="164"/>
      <c r="Q53" s="127"/>
      <c r="R53" s="147"/>
      <c r="S53" s="238"/>
      <c r="T53" s="147"/>
      <c r="U53" s="164"/>
      <c r="V53" s="164"/>
      <c r="W53" s="50"/>
      <c r="X53" s="164"/>
    </row>
    <row r="54" spans="1:24">
      <c r="B54" s="34"/>
      <c r="C54" s="34"/>
      <c r="D54" s="70" t="s">
        <v>25</v>
      </c>
      <c r="E54" s="82" t="s">
        <v>26</v>
      </c>
      <c r="F54" s="96">
        <f t="shared" si="6"/>
        <v>326667</v>
      </c>
      <c r="G54" s="100">
        <f t="shared" si="7"/>
        <v>321883.88</v>
      </c>
      <c r="H54" s="105">
        <f t="shared" si="8"/>
        <v>0.98535781085937668</v>
      </c>
      <c r="I54" s="115">
        <v>326667</v>
      </c>
      <c r="J54" s="144">
        <v>321883.88</v>
      </c>
      <c r="K54" s="105">
        <f t="shared" si="9"/>
        <v>0.98535781085937668</v>
      </c>
      <c r="L54" s="147"/>
      <c r="M54" s="164"/>
      <c r="N54" s="164"/>
      <c r="O54" s="50"/>
      <c r="P54" s="164"/>
      <c r="Q54" s="127"/>
      <c r="R54" s="147"/>
      <c r="S54" s="238"/>
      <c r="T54" s="147"/>
      <c r="U54" s="164"/>
      <c r="V54" s="164"/>
      <c r="W54" s="50"/>
      <c r="X54" s="164"/>
    </row>
    <row r="55" spans="1:24" hidden="1">
      <c r="B55" s="34"/>
      <c r="C55" s="34"/>
      <c r="D55" s="70" t="s">
        <v>182</v>
      </c>
      <c r="E55" s="82" t="s">
        <v>183</v>
      </c>
      <c r="F55" s="96">
        <f t="shared" si="6"/>
        <v>0</v>
      </c>
      <c r="G55" s="100">
        <f t="shared" si="7"/>
        <v>0</v>
      </c>
      <c r="H55" s="105" t="e">
        <f t="shared" si="8"/>
        <v>#DIV/0!</v>
      </c>
      <c r="I55" s="115"/>
      <c r="J55" s="144"/>
      <c r="K55" s="105"/>
      <c r="L55" s="147"/>
      <c r="M55" s="164"/>
      <c r="N55" s="164"/>
      <c r="O55" s="50"/>
      <c r="P55" s="164"/>
      <c r="Q55" s="127"/>
      <c r="R55" s="147"/>
      <c r="S55" s="238"/>
      <c r="T55" s="147"/>
      <c r="U55" s="164"/>
      <c r="V55" s="164"/>
      <c r="W55" s="50"/>
      <c r="X55" s="164"/>
    </row>
    <row r="56" spans="1:24" hidden="1">
      <c r="B56" s="34"/>
      <c r="C56" s="34"/>
      <c r="D56" s="70" t="s">
        <v>122</v>
      </c>
      <c r="E56" s="79" t="s">
        <v>33</v>
      </c>
      <c r="F56" s="96">
        <f t="shared" si="6"/>
        <v>0</v>
      </c>
      <c r="G56" s="100">
        <f t="shared" si="7"/>
        <v>0</v>
      </c>
      <c r="H56" s="105" t="e">
        <f t="shared" si="8"/>
        <v>#DIV/0!</v>
      </c>
      <c r="I56" s="115"/>
      <c r="J56" s="147"/>
      <c r="K56" s="105"/>
      <c r="L56" s="147"/>
      <c r="M56" s="164"/>
      <c r="N56" s="164"/>
      <c r="O56" s="50"/>
      <c r="P56" s="164"/>
      <c r="Q56" s="132"/>
      <c r="R56" s="144"/>
      <c r="S56" s="238"/>
      <c r="T56" s="147"/>
      <c r="U56" s="164"/>
      <c r="V56" s="164"/>
      <c r="W56" s="50"/>
      <c r="X56" s="164"/>
    </row>
    <row r="57" spans="1:24" s="5" customFormat="1">
      <c r="A57" s="9"/>
      <c r="B57" s="36">
        <v>710</v>
      </c>
      <c r="C57" s="36"/>
      <c r="D57" s="71"/>
      <c r="E57" s="81" t="s">
        <v>28</v>
      </c>
      <c r="F57" s="97">
        <f>SUM(I57+Q57)</f>
        <v>1035979</v>
      </c>
      <c r="G57" s="101">
        <f>SUM(J57+R57)</f>
        <v>427789.02999999997</v>
      </c>
      <c r="H57" s="106">
        <f t="shared" si="8"/>
        <v>0.41293214437744391</v>
      </c>
      <c r="I57" s="97">
        <f>SUM(I60+I65+I67+I58)</f>
        <v>1031979</v>
      </c>
      <c r="J57" s="101">
        <f>SUM(J60+J65+J67+J58)</f>
        <v>427789.02999999997</v>
      </c>
      <c r="K57" s="106">
        <f t="shared" si="9"/>
        <v>0.41453268913417807</v>
      </c>
      <c r="L57" s="101">
        <f>SUM(L60+L65+L67)</f>
        <v>0</v>
      </c>
      <c r="M57" s="165">
        <f>SUM(M60+M65+M67)</f>
        <v>0</v>
      </c>
      <c r="N57" s="165">
        <f>SUM(N58+N60)</f>
        <v>170858</v>
      </c>
      <c r="O57" s="51">
        <f>SUM(O60+O65+O67)</f>
        <v>0</v>
      </c>
      <c r="P57" s="165">
        <f>SUM(P60+P65+P67)</f>
        <v>0</v>
      </c>
      <c r="Q57" s="128">
        <f>SUM(Q60+Q65+Q67)</f>
        <v>4000</v>
      </c>
      <c r="R57" s="101">
        <f>SUM(R60+R65+R67)</f>
        <v>0</v>
      </c>
      <c r="S57" s="239">
        <f>SUM(R57/Q57)</f>
        <v>0</v>
      </c>
      <c r="T57" s="101">
        <f>SUM(T60+T65+T67)</f>
        <v>0</v>
      </c>
      <c r="U57" s="165">
        <f>SUM(U60+U65+U67)</f>
        <v>0</v>
      </c>
      <c r="V57" s="165">
        <f>SUM(V60+V65+V67)</f>
        <v>0</v>
      </c>
      <c r="W57" s="51">
        <f>SUM(W60+W65+W67)</f>
        <v>0</v>
      </c>
      <c r="X57" s="165">
        <f>SUM(X60+X65+X67)</f>
        <v>0</v>
      </c>
    </row>
    <row r="58" spans="1:24" s="9" customFormat="1">
      <c r="B58" s="205"/>
      <c r="C58" s="42">
        <v>71012</v>
      </c>
      <c r="D58" s="206"/>
      <c r="E58" s="207" t="s">
        <v>173</v>
      </c>
      <c r="F58" s="208">
        <f>SUM(I58+Q58)</f>
        <v>204000</v>
      </c>
      <c r="G58" s="209">
        <f>SUM(J58+R58)</f>
        <v>0</v>
      </c>
      <c r="H58" s="210">
        <f t="shared" si="8"/>
        <v>0</v>
      </c>
      <c r="I58" s="208">
        <f>SUM(I59)</f>
        <v>204000</v>
      </c>
      <c r="J58" s="209">
        <f>SUM(J59)</f>
        <v>0</v>
      </c>
      <c r="K58" s="210">
        <f t="shared" si="9"/>
        <v>0</v>
      </c>
      <c r="L58" s="209"/>
      <c r="M58" s="211"/>
      <c r="N58" s="211">
        <f>SUM(N59)</f>
        <v>0</v>
      </c>
      <c r="O58" s="212"/>
      <c r="P58" s="211"/>
      <c r="Q58" s="213"/>
      <c r="R58" s="209"/>
      <c r="S58" s="240"/>
      <c r="T58" s="209"/>
      <c r="U58" s="211"/>
      <c r="V58" s="211"/>
      <c r="W58" s="212"/>
      <c r="X58" s="211"/>
    </row>
    <row r="59" spans="1:24" s="218" customFormat="1">
      <c r="B59" s="43"/>
      <c r="C59" s="43"/>
      <c r="D59" s="204" t="s">
        <v>27</v>
      </c>
      <c r="E59" s="214" t="s">
        <v>134</v>
      </c>
      <c r="F59" s="96">
        <f t="shared" ref="F59" si="32">SUM(I59+Q59)</f>
        <v>204000</v>
      </c>
      <c r="G59" s="100">
        <f t="shared" ref="G59" si="33">SUM(J59+R59)</f>
        <v>0</v>
      </c>
      <c r="H59" s="105">
        <f t="shared" ref="H59" si="34">SUM(G59/F59)</f>
        <v>0</v>
      </c>
      <c r="I59" s="96">
        <v>204000</v>
      </c>
      <c r="J59" s="100">
        <v>0</v>
      </c>
      <c r="K59" s="105">
        <f t="shared" ref="K59" si="35">SUM(J59/I59)</f>
        <v>0</v>
      </c>
      <c r="L59" s="100"/>
      <c r="M59" s="215"/>
      <c r="N59" s="215"/>
      <c r="O59" s="216"/>
      <c r="P59" s="215"/>
      <c r="Q59" s="217"/>
      <c r="R59" s="100"/>
      <c r="S59" s="238"/>
      <c r="T59" s="100"/>
      <c r="U59" s="215"/>
      <c r="V59" s="215"/>
      <c r="W59" s="216"/>
      <c r="X59" s="215"/>
    </row>
    <row r="60" spans="1:24" s="6" customFormat="1">
      <c r="A60" s="229"/>
      <c r="B60" s="33"/>
      <c r="C60" s="33">
        <v>71015</v>
      </c>
      <c r="D60" s="67"/>
      <c r="E60" s="78" t="s">
        <v>131</v>
      </c>
      <c r="F60" s="95">
        <f t="shared" si="6"/>
        <v>324449</v>
      </c>
      <c r="G60" s="99">
        <f t="shared" si="7"/>
        <v>170894.58</v>
      </c>
      <c r="H60" s="104">
        <f t="shared" si="8"/>
        <v>0.52672247410224715</v>
      </c>
      <c r="I60" s="108">
        <f>SUM(I61:I64)</f>
        <v>320449</v>
      </c>
      <c r="J60" s="143">
        <f>SUM(J61:J64)</f>
        <v>170894.58</v>
      </c>
      <c r="K60" s="104">
        <f t="shared" si="9"/>
        <v>0.5332972797543446</v>
      </c>
      <c r="L60" s="143">
        <f t="shared" ref="L60:R60" si="36">SUM(L61:L63)</f>
        <v>0</v>
      </c>
      <c r="M60" s="163">
        <f t="shared" si="36"/>
        <v>0</v>
      </c>
      <c r="N60" s="163">
        <f t="shared" si="36"/>
        <v>170858</v>
      </c>
      <c r="O60" s="49">
        <f t="shared" si="36"/>
        <v>0</v>
      </c>
      <c r="P60" s="163">
        <f>SUM(P61:P64)</f>
        <v>0</v>
      </c>
      <c r="Q60" s="163">
        <f>SUM(Q61:Q64)</f>
        <v>4000</v>
      </c>
      <c r="R60" s="143">
        <f t="shared" si="36"/>
        <v>0</v>
      </c>
      <c r="S60" s="237"/>
      <c r="T60" s="143">
        <f>SUM(T61:T63)</f>
        <v>0</v>
      </c>
      <c r="U60" s="163">
        <f>SUM(U61:U63)</f>
        <v>0</v>
      </c>
      <c r="V60" s="163">
        <f>SUM(V61:V63)</f>
        <v>0</v>
      </c>
      <c r="W60" s="49">
        <f>SUM(W61:W63)</f>
        <v>0</v>
      </c>
      <c r="X60" s="163">
        <f>SUM(X61:X63)</f>
        <v>0</v>
      </c>
    </row>
    <row r="61" spans="1:24" s="2" customFormat="1">
      <c r="A61" s="230"/>
      <c r="B61" s="34"/>
      <c r="C61" s="34"/>
      <c r="D61" s="70" t="s">
        <v>29</v>
      </c>
      <c r="E61" s="79" t="s">
        <v>163</v>
      </c>
      <c r="F61" s="96">
        <f t="shared" si="6"/>
        <v>0</v>
      </c>
      <c r="G61" s="100">
        <f t="shared" si="7"/>
        <v>36.58</v>
      </c>
      <c r="H61" s="105" t="e">
        <f t="shared" si="8"/>
        <v>#DIV/0!</v>
      </c>
      <c r="I61" s="112">
        <v>0</v>
      </c>
      <c r="J61" s="147">
        <v>36.58</v>
      </c>
      <c r="K61" s="105"/>
      <c r="L61" s="147"/>
      <c r="M61" s="164"/>
      <c r="N61" s="164"/>
      <c r="O61" s="50"/>
      <c r="P61" s="164"/>
      <c r="Q61" s="127"/>
      <c r="R61" s="147"/>
      <c r="S61" s="238"/>
      <c r="T61" s="147"/>
      <c r="U61" s="164"/>
      <c r="V61" s="164"/>
      <c r="W61" s="50"/>
      <c r="X61" s="164"/>
    </row>
    <row r="62" spans="1:24">
      <c r="B62" s="34"/>
      <c r="C62" s="34"/>
      <c r="D62" s="70" t="s">
        <v>27</v>
      </c>
      <c r="E62" s="82" t="s">
        <v>134</v>
      </c>
      <c r="F62" s="96">
        <f t="shared" si="6"/>
        <v>320396</v>
      </c>
      <c r="G62" s="100">
        <f t="shared" si="7"/>
        <v>170858</v>
      </c>
      <c r="H62" s="105">
        <f t="shared" si="8"/>
        <v>0.53327132673316768</v>
      </c>
      <c r="I62" s="109">
        <v>320396</v>
      </c>
      <c r="J62" s="148">
        <v>170858</v>
      </c>
      <c r="K62" s="105">
        <f t="shared" si="9"/>
        <v>0.53327132673316768</v>
      </c>
      <c r="L62" s="147"/>
      <c r="M62" s="164"/>
      <c r="N62" s="200">
        <v>170858</v>
      </c>
      <c r="O62" s="50"/>
      <c r="P62" s="164"/>
      <c r="Q62" s="127"/>
      <c r="R62" s="147"/>
      <c r="S62" s="238"/>
      <c r="T62" s="147"/>
      <c r="U62" s="164"/>
      <c r="V62" s="164"/>
      <c r="W62" s="50"/>
      <c r="X62" s="164"/>
    </row>
    <row r="63" spans="1:24">
      <c r="B63" s="34"/>
      <c r="C63" s="34"/>
      <c r="D63" s="70" t="s">
        <v>25</v>
      </c>
      <c r="E63" s="82" t="s">
        <v>133</v>
      </c>
      <c r="F63" s="96">
        <f t="shared" si="6"/>
        <v>53</v>
      </c>
      <c r="G63" s="100">
        <f t="shared" si="7"/>
        <v>0</v>
      </c>
      <c r="H63" s="105">
        <f>SUM(G63/F63)</f>
        <v>0</v>
      </c>
      <c r="I63" s="109">
        <v>53</v>
      </c>
      <c r="J63" s="148">
        <v>0</v>
      </c>
      <c r="K63" s="105">
        <f t="shared" si="9"/>
        <v>0</v>
      </c>
      <c r="L63" s="147"/>
      <c r="M63" s="164"/>
      <c r="N63" s="164"/>
      <c r="O63" s="50"/>
      <c r="P63" s="164"/>
      <c r="Q63" s="127"/>
      <c r="R63" s="147"/>
      <c r="S63" s="238"/>
      <c r="T63" s="147"/>
      <c r="U63" s="164"/>
      <c r="V63" s="164"/>
      <c r="W63" s="50"/>
      <c r="X63" s="164"/>
    </row>
    <row r="64" spans="1:24">
      <c r="B64" s="34"/>
      <c r="C64" s="34"/>
      <c r="D64" s="70" t="s">
        <v>37</v>
      </c>
      <c r="E64" s="82" t="s">
        <v>135</v>
      </c>
      <c r="F64" s="96">
        <f t="shared" ref="F64" si="37">SUM(I64+Q64)</f>
        <v>4000</v>
      </c>
      <c r="G64" s="100">
        <f t="shared" ref="G64" si="38">SUM(J64+R64)</f>
        <v>0</v>
      </c>
      <c r="H64" s="105">
        <f>SUM(G64/F64)</f>
        <v>0</v>
      </c>
      <c r="I64" s="109"/>
      <c r="J64" s="148"/>
      <c r="K64" s="105"/>
      <c r="L64" s="147"/>
      <c r="M64" s="164"/>
      <c r="N64" s="164"/>
      <c r="O64" s="50"/>
      <c r="P64" s="164"/>
      <c r="Q64" s="127">
        <v>4000</v>
      </c>
      <c r="R64" s="147"/>
      <c r="S64" s="238"/>
      <c r="T64" s="147"/>
      <c r="U64" s="164"/>
      <c r="V64" s="164"/>
      <c r="W64" s="50"/>
      <c r="X64" s="164"/>
    </row>
    <row r="65" spans="1:24" s="6" customFormat="1" ht="12" customHeight="1">
      <c r="A65" s="229"/>
      <c r="B65" s="33"/>
      <c r="C65" s="33">
        <v>71020</v>
      </c>
      <c r="D65" s="67"/>
      <c r="E65" s="78" t="s">
        <v>30</v>
      </c>
      <c r="F65" s="95">
        <f t="shared" si="6"/>
        <v>17530</v>
      </c>
      <c r="G65" s="99">
        <f t="shared" si="7"/>
        <v>1097.55</v>
      </c>
      <c r="H65" s="104">
        <f t="shared" si="8"/>
        <v>6.2609811751283509E-2</v>
      </c>
      <c r="I65" s="108">
        <f>SUM(I66:I66)</f>
        <v>17530</v>
      </c>
      <c r="J65" s="143">
        <f>SUM(J66:J66)</f>
        <v>1097.55</v>
      </c>
      <c r="K65" s="104">
        <f t="shared" si="9"/>
        <v>6.2609811751283509E-2</v>
      </c>
      <c r="L65" s="143">
        <f t="shared" ref="L65:R65" si="39">SUM(L66:L66)</f>
        <v>0</v>
      </c>
      <c r="M65" s="163">
        <f t="shared" si="39"/>
        <v>0</v>
      </c>
      <c r="N65" s="163">
        <f t="shared" si="39"/>
        <v>0</v>
      </c>
      <c r="O65" s="49">
        <f t="shared" si="39"/>
        <v>0</v>
      </c>
      <c r="P65" s="163">
        <f t="shared" si="39"/>
        <v>0</v>
      </c>
      <c r="Q65" s="126">
        <f t="shared" si="39"/>
        <v>0</v>
      </c>
      <c r="R65" s="143">
        <f t="shared" si="39"/>
        <v>0</v>
      </c>
      <c r="S65" s="237"/>
      <c r="T65" s="143">
        <f>SUM(T66)</f>
        <v>0</v>
      </c>
      <c r="U65" s="163">
        <f t="shared" ref="U65:X65" si="40">SUM(U66)</f>
        <v>0</v>
      </c>
      <c r="V65" s="163">
        <f t="shared" si="40"/>
        <v>0</v>
      </c>
      <c r="W65" s="163">
        <f t="shared" si="40"/>
        <v>0</v>
      </c>
      <c r="X65" s="163">
        <f t="shared" si="40"/>
        <v>0</v>
      </c>
    </row>
    <row r="66" spans="1:24" s="2" customFormat="1" ht="12.75" customHeight="1">
      <c r="A66" s="230"/>
      <c r="B66" s="34"/>
      <c r="C66" s="34"/>
      <c r="D66" s="72" t="s">
        <v>7</v>
      </c>
      <c r="E66" s="79" t="s">
        <v>8</v>
      </c>
      <c r="F66" s="96">
        <f t="shared" si="6"/>
        <v>17530</v>
      </c>
      <c r="G66" s="100">
        <f t="shared" si="7"/>
        <v>1097.55</v>
      </c>
      <c r="H66" s="105">
        <f t="shared" si="8"/>
        <v>6.2609811751283509E-2</v>
      </c>
      <c r="I66" s="112">
        <v>17530</v>
      </c>
      <c r="J66" s="147">
        <v>1097.55</v>
      </c>
      <c r="K66" s="105">
        <f t="shared" si="9"/>
        <v>6.2609811751283509E-2</v>
      </c>
      <c r="L66" s="147"/>
      <c r="M66" s="164"/>
      <c r="N66" s="164"/>
      <c r="O66" s="50"/>
      <c r="P66" s="164"/>
      <c r="Q66" s="127"/>
      <c r="R66" s="147"/>
      <c r="S66" s="238"/>
      <c r="T66" s="147"/>
      <c r="U66" s="164"/>
      <c r="V66" s="164"/>
      <c r="W66" s="50"/>
      <c r="X66" s="164"/>
    </row>
    <row r="67" spans="1:24">
      <c r="B67" s="37"/>
      <c r="C67" s="37">
        <v>71095</v>
      </c>
      <c r="D67" s="73"/>
      <c r="E67" s="83" t="s">
        <v>64</v>
      </c>
      <c r="F67" s="95">
        <f t="shared" si="6"/>
        <v>490000</v>
      </c>
      <c r="G67" s="99">
        <f t="shared" si="7"/>
        <v>255796.9</v>
      </c>
      <c r="H67" s="104">
        <f t="shared" si="8"/>
        <v>0.52203448979591838</v>
      </c>
      <c r="I67" s="116">
        <f>SUM(I68:I69)</f>
        <v>490000</v>
      </c>
      <c r="J67" s="150">
        <f>SUM(J68:J70)</f>
        <v>255796.9</v>
      </c>
      <c r="K67" s="104">
        <f t="shared" si="9"/>
        <v>0.52203448979591838</v>
      </c>
      <c r="L67" s="150">
        <f t="shared" ref="L67:R67" si="41">SUM(L68:L69)</f>
        <v>0</v>
      </c>
      <c r="M67" s="169">
        <f t="shared" si="41"/>
        <v>0</v>
      </c>
      <c r="N67" s="169">
        <f t="shared" si="41"/>
        <v>0</v>
      </c>
      <c r="O67" s="54">
        <f t="shared" si="41"/>
        <v>0</v>
      </c>
      <c r="P67" s="169">
        <f t="shared" si="41"/>
        <v>0</v>
      </c>
      <c r="Q67" s="133">
        <f t="shared" si="41"/>
        <v>0</v>
      </c>
      <c r="R67" s="150">
        <f t="shared" si="41"/>
        <v>0</v>
      </c>
      <c r="S67" s="237"/>
      <c r="T67" s="150">
        <f>SUM(T68:T69)</f>
        <v>0</v>
      </c>
      <c r="U67" s="169">
        <f>SUM(U68:U69)</f>
        <v>0</v>
      </c>
      <c r="V67" s="169">
        <f>SUM(V68:V69)</f>
        <v>0</v>
      </c>
      <c r="W67" s="54">
        <f>SUM(W68:W69)</f>
        <v>0</v>
      </c>
      <c r="X67" s="169">
        <f>SUM(X68:X69)</f>
        <v>0</v>
      </c>
    </row>
    <row r="68" spans="1:24">
      <c r="B68" s="34"/>
      <c r="C68" s="34"/>
      <c r="D68" s="70" t="s">
        <v>12</v>
      </c>
      <c r="E68" s="79" t="s">
        <v>13</v>
      </c>
      <c r="F68" s="96">
        <f t="shared" si="6"/>
        <v>490000</v>
      </c>
      <c r="G68" s="100">
        <f t="shared" si="7"/>
        <v>255780.8</v>
      </c>
      <c r="H68" s="105">
        <f t="shared" si="8"/>
        <v>0.52200163265306121</v>
      </c>
      <c r="I68" s="115">
        <v>490000</v>
      </c>
      <c r="J68" s="148">
        <v>255780.8</v>
      </c>
      <c r="K68" s="105">
        <f t="shared" si="9"/>
        <v>0.52200163265306121</v>
      </c>
      <c r="L68" s="147"/>
      <c r="M68" s="164"/>
      <c r="N68" s="164"/>
      <c r="O68" s="50"/>
      <c r="P68" s="164"/>
      <c r="Q68" s="127">
        <v>0</v>
      </c>
      <c r="R68" s="147">
        <v>0</v>
      </c>
      <c r="S68" s="238"/>
      <c r="T68" s="147"/>
      <c r="U68" s="164"/>
      <c r="V68" s="164"/>
      <c r="W68" s="50"/>
      <c r="X68" s="164"/>
    </row>
    <row r="69" spans="1:24" hidden="1">
      <c r="B69" s="34"/>
      <c r="C69" s="34"/>
      <c r="D69" s="70" t="s">
        <v>184</v>
      </c>
      <c r="E69" s="79" t="s">
        <v>185</v>
      </c>
      <c r="F69" s="96">
        <f t="shared" si="6"/>
        <v>0</v>
      </c>
      <c r="G69" s="100">
        <f t="shared" si="7"/>
        <v>0</v>
      </c>
      <c r="H69" s="105" t="e">
        <f t="shared" si="8"/>
        <v>#DIV/0!</v>
      </c>
      <c r="I69" s="115">
        <v>0</v>
      </c>
      <c r="J69" s="148">
        <v>0</v>
      </c>
      <c r="K69" s="105" t="e">
        <f t="shared" si="9"/>
        <v>#DIV/0!</v>
      </c>
      <c r="L69" s="147"/>
      <c r="M69" s="164"/>
      <c r="N69" s="164"/>
      <c r="O69" s="50"/>
      <c r="P69" s="164"/>
      <c r="Q69" s="127">
        <v>0</v>
      </c>
      <c r="R69" s="147">
        <v>0</v>
      </c>
      <c r="S69" s="238"/>
      <c r="T69" s="147"/>
      <c r="U69" s="164"/>
      <c r="V69" s="164"/>
      <c r="W69" s="50"/>
      <c r="X69" s="164"/>
    </row>
    <row r="70" spans="1:24" ht="14.25" customHeight="1">
      <c r="B70" s="34"/>
      <c r="C70" s="34"/>
      <c r="D70" s="70" t="s">
        <v>29</v>
      </c>
      <c r="E70" s="82" t="s">
        <v>163</v>
      </c>
      <c r="F70" s="96">
        <f t="shared" ref="F70" si="42">SUM(I70+Q70)</f>
        <v>0</v>
      </c>
      <c r="G70" s="100">
        <f t="shared" ref="G70" si="43">SUM(J70+R70)</f>
        <v>16.100000000000001</v>
      </c>
      <c r="H70" s="105" t="e">
        <f t="shared" ref="H70" si="44">SUM(G70/F70)</f>
        <v>#DIV/0!</v>
      </c>
      <c r="I70" s="115">
        <v>0</v>
      </c>
      <c r="J70" s="148">
        <v>16.100000000000001</v>
      </c>
      <c r="K70" s="105"/>
      <c r="L70" s="147"/>
      <c r="M70" s="164"/>
      <c r="N70" s="164"/>
      <c r="O70" s="50"/>
      <c r="P70" s="164"/>
      <c r="Q70" s="127"/>
      <c r="R70" s="147"/>
      <c r="S70" s="238"/>
      <c r="T70" s="147"/>
      <c r="U70" s="164"/>
      <c r="V70" s="164"/>
      <c r="W70" s="50"/>
      <c r="X70" s="164"/>
    </row>
    <row r="71" spans="1:24" s="5" customFormat="1">
      <c r="A71" s="9"/>
      <c r="B71" s="36">
        <v>750</v>
      </c>
      <c r="C71" s="36"/>
      <c r="D71" s="71"/>
      <c r="E71" s="81" t="s">
        <v>31</v>
      </c>
      <c r="F71" s="97">
        <f>SUM(I71+Q71)</f>
        <v>1452257</v>
      </c>
      <c r="G71" s="101">
        <f>SUM(J71+R71)</f>
        <v>245284.66999999998</v>
      </c>
      <c r="H71" s="106">
        <f>SUM(G71/F71)</f>
        <v>0.16889894144080558</v>
      </c>
      <c r="I71" s="97">
        <f>SUM(I72+I74+I78+I81)</f>
        <v>484957</v>
      </c>
      <c r="J71" s="101">
        <f>SUM(J72+J74+J78+J81)</f>
        <v>244732.16999999998</v>
      </c>
      <c r="K71" s="106">
        <f t="shared" si="9"/>
        <v>0.50464715428378182</v>
      </c>
      <c r="L71" s="101">
        <f>SUM(L72+L74+L78)</f>
        <v>0</v>
      </c>
      <c r="M71" s="165">
        <f>SUM(M72+M74+M78)</f>
        <v>0</v>
      </c>
      <c r="N71" s="165">
        <f>SUM(N72+N74+N78)</f>
        <v>74724.94</v>
      </c>
      <c r="O71" s="51">
        <f>SUM(O72+O74+O78+O81)</f>
        <v>7579.2</v>
      </c>
      <c r="P71" s="51">
        <f>SUM(P72+P74+P78+P81)</f>
        <v>0</v>
      </c>
      <c r="Q71" s="51">
        <f>SUM(Q72+Q74+Q78+Q81)</f>
        <v>967300</v>
      </c>
      <c r="R71" s="51">
        <f>SUM(R72+R74+R78+R81)</f>
        <v>552.5</v>
      </c>
      <c r="S71" s="106">
        <f t="shared" ref="S71" si="45">SUM(R71/Q71)</f>
        <v>5.7117750439367307E-4</v>
      </c>
      <c r="T71" s="101">
        <f>SUM(T72+T74+T78)</f>
        <v>0</v>
      </c>
      <c r="U71" s="165">
        <f>SUM(U72+U74+U78)</f>
        <v>0</v>
      </c>
      <c r="V71" s="165">
        <f>SUM(V72+V74+V78)</f>
        <v>0</v>
      </c>
      <c r="W71" s="51">
        <f>SUM(W72+W74+W78)</f>
        <v>0</v>
      </c>
      <c r="X71" s="165">
        <f>SUM(X72+X74+X78)</f>
        <v>0</v>
      </c>
    </row>
    <row r="72" spans="1:24" s="6" customFormat="1">
      <c r="A72" s="229"/>
      <c r="B72" s="33"/>
      <c r="C72" s="33">
        <v>75011</v>
      </c>
      <c r="D72" s="67"/>
      <c r="E72" s="78" t="s">
        <v>137</v>
      </c>
      <c r="F72" s="95">
        <f t="shared" si="6"/>
        <v>118900</v>
      </c>
      <c r="G72" s="99">
        <f t="shared" si="7"/>
        <v>64105</v>
      </c>
      <c r="H72" s="104">
        <f t="shared" si="8"/>
        <v>0.53915054667788054</v>
      </c>
      <c r="I72" s="108">
        <f>SUM(I73)</f>
        <v>118900</v>
      </c>
      <c r="J72" s="143">
        <f t="shared" ref="J72:X72" si="46">SUM(J73)</f>
        <v>64105</v>
      </c>
      <c r="K72" s="104">
        <f t="shared" si="9"/>
        <v>0.53915054667788054</v>
      </c>
      <c r="L72" s="143">
        <f t="shared" si="46"/>
        <v>0</v>
      </c>
      <c r="M72" s="163">
        <f t="shared" si="46"/>
        <v>0</v>
      </c>
      <c r="N72" s="163">
        <f t="shared" si="46"/>
        <v>64105</v>
      </c>
      <c r="O72" s="49">
        <f t="shared" si="46"/>
        <v>0</v>
      </c>
      <c r="P72" s="163">
        <f t="shared" si="46"/>
        <v>0</v>
      </c>
      <c r="Q72" s="126">
        <f t="shared" si="46"/>
        <v>0</v>
      </c>
      <c r="R72" s="143">
        <f t="shared" si="46"/>
        <v>0</v>
      </c>
      <c r="S72" s="237"/>
      <c r="T72" s="143">
        <f t="shared" si="46"/>
        <v>0</v>
      </c>
      <c r="U72" s="163">
        <f t="shared" si="46"/>
        <v>0</v>
      </c>
      <c r="V72" s="163">
        <f t="shared" si="46"/>
        <v>0</v>
      </c>
      <c r="W72" s="49">
        <f t="shared" si="46"/>
        <v>0</v>
      </c>
      <c r="X72" s="163">
        <f t="shared" si="46"/>
        <v>0</v>
      </c>
    </row>
    <row r="73" spans="1:24">
      <c r="B73" s="34"/>
      <c r="C73" s="34"/>
      <c r="D73" s="70" t="s">
        <v>27</v>
      </c>
      <c r="E73" s="82" t="s">
        <v>135</v>
      </c>
      <c r="F73" s="96">
        <f t="shared" si="6"/>
        <v>118900</v>
      </c>
      <c r="G73" s="100">
        <f t="shared" si="7"/>
        <v>64105</v>
      </c>
      <c r="H73" s="105">
        <f t="shared" si="8"/>
        <v>0.53915054667788054</v>
      </c>
      <c r="I73" s="109">
        <v>118900</v>
      </c>
      <c r="J73" s="144">
        <v>64105</v>
      </c>
      <c r="K73" s="105">
        <f t="shared" si="9"/>
        <v>0.53915054667788054</v>
      </c>
      <c r="L73" s="147"/>
      <c r="M73" s="164"/>
      <c r="N73" s="167">
        <v>64105</v>
      </c>
      <c r="O73" s="50"/>
      <c r="P73" s="164"/>
      <c r="Q73" s="127"/>
      <c r="R73" s="147"/>
      <c r="S73" s="238"/>
      <c r="T73" s="147"/>
      <c r="U73" s="164"/>
      <c r="V73" s="164"/>
      <c r="W73" s="50"/>
      <c r="X73" s="164"/>
    </row>
    <row r="74" spans="1:24" s="6" customFormat="1">
      <c r="A74" s="229"/>
      <c r="B74" s="33"/>
      <c r="C74" s="33">
        <v>75020</v>
      </c>
      <c r="D74" s="67"/>
      <c r="E74" s="78" t="s">
        <v>136</v>
      </c>
      <c r="F74" s="95">
        <f t="shared" ref="F74:F132" si="47">SUM(I74+Q74)</f>
        <v>342057</v>
      </c>
      <c r="G74" s="99">
        <f t="shared" ref="G74:G132" si="48">SUM(J74+R74)</f>
        <v>162428.03</v>
      </c>
      <c r="H74" s="104">
        <f t="shared" si="8"/>
        <v>0.47485661746434071</v>
      </c>
      <c r="I74" s="108">
        <f>SUM(I75:I77)</f>
        <v>342057</v>
      </c>
      <c r="J74" s="143">
        <f>SUM(J75:J77)</f>
        <v>162428.03</v>
      </c>
      <c r="K74" s="104">
        <f t="shared" si="9"/>
        <v>0.47485661746434071</v>
      </c>
      <c r="L74" s="143">
        <f t="shared" ref="L74:R74" si="49">SUM(L75:L77)</f>
        <v>0</v>
      </c>
      <c r="M74" s="163">
        <f t="shared" si="49"/>
        <v>0</v>
      </c>
      <c r="N74" s="163">
        <f t="shared" si="49"/>
        <v>0</v>
      </c>
      <c r="O74" s="49">
        <f t="shared" si="49"/>
        <v>0</v>
      </c>
      <c r="P74" s="163">
        <f t="shared" si="49"/>
        <v>0</v>
      </c>
      <c r="Q74" s="126">
        <f t="shared" si="49"/>
        <v>0</v>
      </c>
      <c r="R74" s="143">
        <f t="shared" si="49"/>
        <v>0</v>
      </c>
      <c r="S74" s="237"/>
      <c r="T74" s="143">
        <f>SUM(T75:T77)</f>
        <v>0</v>
      </c>
      <c r="U74" s="163">
        <f>SUM(U75:U77)</f>
        <v>0</v>
      </c>
      <c r="V74" s="163">
        <f>SUM(V75:V77)</f>
        <v>0</v>
      </c>
      <c r="W74" s="49">
        <f>SUM(W75:W77)</f>
        <v>0</v>
      </c>
      <c r="X74" s="163">
        <f>SUM(X75:X77)</f>
        <v>0</v>
      </c>
    </row>
    <row r="75" spans="1:24">
      <c r="B75" s="34"/>
      <c r="C75" s="34"/>
      <c r="D75" s="72" t="s">
        <v>32</v>
      </c>
      <c r="E75" s="82" t="s">
        <v>172</v>
      </c>
      <c r="F75" s="96">
        <f t="shared" si="47"/>
        <v>5048</v>
      </c>
      <c r="G75" s="100">
        <f t="shared" si="48"/>
        <v>2523.7800000000002</v>
      </c>
      <c r="H75" s="105">
        <f t="shared" si="8"/>
        <v>0.49995641838351829</v>
      </c>
      <c r="I75" s="115">
        <v>5048</v>
      </c>
      <c r="J75" s="148">
        <v>2523.7800000000002</v>
      </c>
      <c r="K75" s="105">
        <f t="shared" si="9"/>
        <v>0.49995641838351829</v>
      </c>
      <c r="L75" s="147"/>
      <c r="M75" s="164"/>
      <c r="N75" s="164"/>
      <c r="O75" s="50"/>
      <c r="P75" s="164"/>
      <c r="Q75" s="127"/>
      <c r="R75" s="147"/>
      <c r="S75" s="238"/>
      <c r="T75" s="147"/>
      <c r="U75" s="164"/>
      <c r="V75" s="164"/>
      <c r="W75" s="50"/>
      <c r="X75" s="164"/>
    </row>
    <row r="76" spans="1:24">
      <c r="B76" s="34"/>
      <c r="C76" s="34"/>
      <c r="D76" s="70" t="s">
        <v>29</v>
      </c>
      <c r="E76" s="82" t="s">
        <v>163</v>
      </c>
      <c r="F76" s="96">
        <f t="shared" si="47"/>
        <v>1800</v>
      </c>
      <c r="G76" s="100">
        <f t="shared" si="48"/>
        <v>995.48</v>
      </c>
      <c r="H76" s="105">
        <f t="shared" si="8"/>
        <v>0.55304444444444445</v>
      </c>
      <c r="I76" s="115">
        <v>1800</v>
      </c>
      <c r="J76" s="148">
        <v>995.48</v>
      </c>
      <c r="K76" s="105">
        <f t="shared" si="9"/>
        <v>0.55304444444444445</v>
      </c>
      <c r="L76" s="147"/>
      <c r="M76" s="164"/>
      <c r="N76" s="164"/>
      <c r="O76" s="50"/>
      <c r="P76" s="164"/>
      <c r="Q76" s="127"/>
      <c r="R76" s="147"/>
      <c r="S76" s="238"/>
      <c r="T76" s="147"/>
      <c r="U76" s="164"/>
      <c r="V76" s="164"/>
      <c r="W76" s="50"/>
      <c r="X76" s="164"/>
    </row>
    <row r="77" spans="1:24">
      <c r="B77" s="34"/>
      <c r="C77" s="34"/>
      <c r="D77" s="70" t="s">
        <v>7</v>
      </c>
      <c r="E77" s="79" t="s">
        <v>8</v>
      </c>
      <c r="F77" s="96">
        <f t="shared" si="47"/>
        <v>335209</v>
      </c>
      <c r="G77" s="100">
        <f t="shared" si="48"/>
        <v>158908.76999999999</v>
      </c>
      <c r="H77" s="105">
        <f t="shared" si="8"/>
        <v>0.4740587812379739</v>
      </c>
      <c r="I77" s="115">
        <v>335209</v>
      </c>
      <c r="J77" s="148">
        <v>158908.76999999999</v>
      </c>
      <c r="K77" s="105">
        <f t="shared" si="9"/>
        <v>0.4740587812379739</v>
      </c>
      <c r="L77" s="147"/>
      <c r="M77" s="164"/>
      <c r="N77" s="164"/>
      <c r="O77" s="50"/>
      <c r="P77" s="164"/>
      <c r="Q77" s="127"/>
      <c r="R77" s="147"/>
      <c r="S77" s="238"/>
      <c r="T77" s="147"/>
      <c r="U77" s="164"/>
      <c r="V77" s="164"/>
      <c r="W77" s="50"/>
      <c r="X77" s="164"/>
    </row>
    <row r="78" spans="1:24" s="6" customFormat="1">
      <c r="A78" s="229"/>
      <c r="B78" s="33"/>
      <c r="C78" s="33">
        <v>75045</v>
      </c>
      <c r="D78" s="67"/>
      <c r="E78" s="78" t="s">
        <v>34</v>
      </c>
      <c r="F78" s="95">
        <f t="shared" si="47"/>
        <v>24000</v>
      </c>
      <c r="G78" s="99">
        <f t="shared" si="48"/>
        <v>18199.14</v>
      </c>
      <c r="H78" s="104">
        <f t="shared" si="8"/>
        <v>0.75829749999999996</v>
      </c>
      <c r="I78" s="108">
        <f>SUM(I79:I80)</f>
        <v>24000</v>
      </c>
      <c r="J78" s="143">
        <f t="shared" ref="J78" si="50">SUM(J79:J80)</f>
        <v>18199.14</v>
      </c>
      <c r="K78" s="104">
        <f t="shared" si="9"/>
        <v>0.75829749999999996</v>
      </c>
      <c r="L78" s="143">
        <f t="shared" ref="L78:X78" si="51">SUM(L79:L80)</f>
        <v>0</v>
      </c>
      <c r="M78" s="163">
        <f t="shared" si="51"/>
        <v>0</v>
      </c>
      <c r="N78" s="163">
        <f t="shared" si="51"/>
        <v>10619.94</v>
      </c>
      <c r="O78" s="49">
        <f t="shared" si="51"/>
        <v>7579.2</v>
      </c>
      <c r="P78" s="163">
        <f t="shared" si="51"/>
        <v>0</v>
      </c>
      <c r="Q78" s="126">
        <f t="shared" si="51"/>
        <v>0</v>
      </c>
      <c r="R78" s="143">
        <f t="shared" si="51"/>
        <v>0</v>
      </c>
      <c r="S78" s="237"/>
      <c r="T78" s="143">
        <f t="shared" si="51"/>
        <v>0</v>
      </c>
      <c r="U78" s="163">
        <f t="shared" si="51"/>
        <v>0</v>
      </c>
      <c r="V78" s="163">
        <f t="shared" si="51"/>
        <v>0</v>
      </c>
      <c r="W78" s="49">
        <f t="shared" si="51"/>
        <v>0</v>
      </c>
      <c r="X78" s="163">
        <f t="shared" si="51"/>
        <v>0</v>
      </c>
    </row>
    <row r="79" spans="1:24">
      <c r="B79" s="34"/>
      <c r="C79" s="34"/>
      <c r="D79" s="70" t="s">
        <v>27</v>
      </c>
      <c r="E79" s="82" t="s">
        <v>135</v>
      </c>
      <c r="F79" s="96">
        <f t="shared" si="47"/>
        <v>11000</v>
      </c>
      <c r="G79" s="100">
        <f t="shared" si="48"/>
        <v>10619.94</v>
      </c>
      <c r="H79" s="105">
        <f t="shared" si="8"/>
        <v>0.96544909090909092</v>
      </c>
      <c r="I79" s="109">
        <v>11000</v>
      </c>
      <c r="J79" s="144">
        <v>10619.94</v>
      </c>
      <c r="K79" s="105">
        <f t="shared" si="9"/>
        <v>0.96544909090909092</v>
      </c>
      <c r="L79" s="147"/>
      <c r="M79" s="164"/>
      <c r="N79" s="167">
        <v>10619.94</v>
      </c>
      <c r="O79" s="50"/>
      <c r="P79" s="164"/>
      <c r="Q79" s="127"/>
      <c r="R79" s="147"/>
      <c r="S79" s="238"/>
      <c r="T79" s="147"/>
      <c r="U79" s="164"/>
      <c r="V79" s="164"/>
      <c r="W79" s="50"/>
      <c r="X79" s="164"/>
    </row>
    <row r="80" spans="1:24">
      <c r="B80" s="34"/>
      <c r="C80" s="34"/>
      <c r="D80" s="70" t="s">
        <v>35</v>
      </c>
      <c r="E80" s="82" t="s">
        <v>135</v>
      </c>
      <c r="F80" s="96">
        <f t="shared" si="47"/>
        <v>13000</v>
      </c>
      <c r="G80" s="100">
        <f t="shared" si="48"/>
        <v>7579.2</v>
      </c>
      <c r="H80" s="105">
        <f t="shared" si="8"/>
        <v>0.5830153846153846</v>
      </c>
      <c r="I80" s="109">
        <v>13000</v>
      </c>
      <c r="J80" s="144">
        <v>7579.2</v>
      </c>
      <c r="K80" s="105">
        <f t="shared" si="9"/>
        <v>0.5830153846153846</v>
      </c>
      <c r="L80" s="147"/>
      <c r="M80" s="164"/>
      <c r="N80" s="164"/>
      <c r="O80" s="63">
        <v>7579.2</v>
      </c>
      <c r="P80" s="164"/>
      <c r="Q80" s="127"/>
      <c r="R80" s="147"/>
      <c r="S80" s="238"/>
      <c r="T80" s="147"/>
      <c r="U80" s="164"/>
      <c r="V80" s="164"/>
      <c r="W80" s="50"/>
      <c r="X80" s="164"/>
    </row>
    <row r="81" spans="1:24" s="6" customFormat="1">
      <c r="A81" s="229"/>
      <c r="B81" s="33"/>
      <c r="C81" s="33">
        <v>75095</v>
      </c>
      <c r="D81" s="67"/>
      <c r="E81" s="78" t="s">
        <v>64</v>
      </c>
      <c r="F81" s="95">
        <f>SUM(I81+Q81)</f>
        <v>967300</v>
      </c>
      <c r="G81" s="99">
        <f t="shared" ref="G81:G82" si="52">SUM(J81+R81)</f>
        <v>552.5</v>
      </c>
      <c r="H81" s="104">
        <f t="shared" ref="H81:H82" si="53">SUM(G81/F81)</f>
        <v>5.7117750439367307E-4</v>
      </c>
      <c r="I81" s="108">
        <f>SUM(I82)</f>
        <v>0</v>
      </c>
      <c r="J81" s="143">
        <f>SUM(J82)</f>
        <v>0</v>
      </c>
      <c r="K81" s="104" t="e">
        <f t="shared" ref="K81" si="54">SUM(J81/I81)</f>
        <v>#DIV/0!</v>
      </c>
      <c r="L81" s="143">
        <f>SUM(L82:L88)</f>
        <v>0</v>
      </c>
      <c r="M81" s="163">
        <f>SUM(M82:M88)</f>
        <v>0</v>
      </c>
      <c r="N81" s="163">
        <f>SUM(N82)</f>
        <v>0</v>
      </c>
      <c r="O81" s="49">
        <f>SUM(O82:O88)</f>
        <v>0</v>
      </c>
      <c r="P81" s="163">
        <f>SUM(P82:P88)</f>
        <v>0</v>
      </c>
      <c r="Q81" s="126">
        <f>SUM(Q82)</f>
        <v>967300</v>
      </c>
      <c r="R81" s="143">
        <f>SUM(R82)</f>
        <v>552.5</v>
      </c>
      <c r="S81" s="237">
        <f t="shared" si="13"/>
        <v>5.7117750439367307E-4</v>
      </c>
      <c r="T81" s="143">
        <f>SUM(T82:T88)</f>
        <v>552.5</v>
      </c>
      <c r="U81" s="163">
        <f>SUM(U82:U88)</f>
        <v>0</v>
      </c>
      <c r="V81" s="163">
        <f>SUM(V82:V88)</f>
        <v>91000</v>
      </c>
      <c r="W81" s="49">
        <f>SUM(W82:W88)</f>
        <v>0</v>
      </c>
      <c r="X81" s="163">
        <f>SUM(X82:X88)</f>
        <v>0</v>
      </c>
    </row>
    <row r="82" spans="1:24">
      <c r="B82" s="34"/>
      <c r="C82" s="34"/>
      <c r="D82" s="70" t="s">
        <v>160</v>
      </c>
      <c r="E82" s="82" t="s">
        <v>106</v>
      </c>
      <c r="F82" s="96">
        <f t="shared" ref="F82" si="55">SUM(I82+Q82)</f>
        <v>967300</v>
      </c>
      <c r="G82" s="100">
        <f t="shared" si="52"/>
        <v>552.5</v>
      </c>
      <c r="H82" s="105">
        <f t="shared" si="53"/>
        <v>5.7117750439367307E-4</v>
      </c>
      <c r="I82" s="109"/>
      <c r="J82" s="144"/>
      <c r="K82" s="105"/>
      <c r="L82" s="147"/>
      <c r="M82" s="147"/>
      <c r="N82" s="147"/>
      <c r="O82" s="249"/>
      <c r="P82" s="147"/>
      <c r="Q82" s="250">
        <v>967300</v>
      </c>
      <c r="R82" s="147">
        <v>552.5</v>
      </c>
      <c r="S82" s="105">
        <f t="shared" ref="S82" si="56">SUM(R82/Q82)</f>
        <v>5.7117750439367307E-4</v>
      </c>
      <c r="T82" s="147">
        <v>552.5</v>
      </c>
      <c r="U82" s="164"/>
      <c r="V82" s="164"/>
      <c r="W82" s="50"/>
      <c r="X82" s="164"/>
    </row>
    <row r="83" spans="1:24" s="5" customFormat="1">
      <c r="A83" s="9"/>
      <c r="B83" s="36">
        <v>752</v>
      </c>
      <c r="C83" s="36"/>
      <c r="D83" s="71"/>
      <c r="E83" s="81" t="s">
        <v>195</v>
      </c>
      <c r="F83" s="97">
        <f>SUM(I83+Q83)</f>
        <v>48913</v>
      </c>
      <c r="G83" s="101">
        <f>SUM(J83+R83)</f>
        <v>4000</v>
      </c>
      <c r="H83" s="106">
        <f t="shared" ref="H83:H87" si="57">SUM(G83/F83)</f>
        <v>8.1777850469200414E-2</v>
      </c>
      <c r="I83" s="97">
        <f>SUM(I84+I86)</f>
        <v>48913</v>
      </c>
      <c r="J83" s="101">
        <f>SUM(J84+J86)</f>
        <v>4000</v>
      </c>
      <c r="K83" s="106">
        <f t="shared" ref="K83:K87" si="58">SUM(J83/I83)</f>
        <v>8.1777850469200414E-2</v>
      </c>
      <c r="L83" s="101">
        <f>SUM(L84+L86)</f>
        <v>0</v>
      </c>
      <c r="M83" s="101">
        <f t="shared" ref="M83:Q83" si="59">SUM(M84+M86)</f>
        <v>0</v>
      </c>
      <c r="N83" s="101">
        <f t="shared" si="59"/>
        <v>4000</v>
      </c>
      <c r="O83" s="101">
        <f t="shared" si="59"/>
        <v>0</v>
      </c>
      <c r="P83" s="101">
        <f t="shared" si="59"/>
        <v>0</v>
      </c>
      <c r="Q83" s="101">
        <f t="shared" si="59"/>
        <v>0</v>
      </c>
      <c r="R83" s="101">
        <f>SUM(R84+R86+R90)</f>
        <v>0</v>
      </c>
      <c r="S83" s="239" t="e">
        <f>SUM(R83/Q83)</f>
        <v>#DIV/0!</v>
      </c>
      <c r="T83" s="101">
        <f>SUM(T84+T86+T90)</f>
        <v>0</v>
      </c>
      <c r="U83" s="165">
        <f>SUM(U84+U86+U90)</f>
        <v>0</v>
      </c>
      <c r="V83" s="165">
        <f>SUM(V84+V86+V90)</f>
        <v>36400</v>
      </c>
      <c r="W83" s="51">
        <f>SUM(W84+W86+W90)</f>
        <v>0</v>
      </c>
      <c r="X83" s="165">
        <f>SUM(X84+X86+X90)</f>
        <v>0</v>
      </c>
    </row>
    <row r="84" spans="1:24" s="6" customFormat="1">
      <c r="A84" s="229"/>
      <c r="B84" s="33"/>
      <c r="C84" s="33">
        <v>75212</v>
      </c>
      <c r="D84" s="67"/>
      <c r="E84" s="78" t="s">
        <v>196</v>
      </c>
      <c r="F84" s="95">
        <f t="shared" ref="F84:F87" si="60">SUM(I84+Q84)</f>
        <v>4000</v>
      </c>
      <c r="G84" s="99">
        <f t="shared" ref="G84:G87" si="61">SUM(J84+R84)</f>
        <v>4000</v>
      </c>
      <c r="H84" s="104">
        <f t="shared" si="57"/>
        <v>1</v>
      </c>
      <c r="I84" s="108">
        <f>SUM(I85)</f>
        <v>4000</v>
      </c>
      <c r="J84" s="143">
        <f>SUM(J85)</f>
        <v>4000</v>
      </c>
      <c r="K84" s="104">
        <f t="shared" si="58"/>
        <v>1</v>
      </c>
      <c r="L84" s="143">
        <f t="shared" ref="L84:X84" si="62">SUM(L85)</f>
        <v>0</v>
      </c>
      <c r="M84" s="163">
        <f t="shared" si="62"/>
        <v>0</v>
      </c>
      <c r="N84" s="163">
        <f t="shared" si="62"/>
        <v>4000</v>
      </c>
      <c r="O84" s="49">
        <f t="shared" si="62"/>
        <v>0</v>
      </c>
      <c r="P84" s="163">
        <f t="shared" si="62"/>
        <v>0</v>
      </c>
      <c r="Q84" s="126">
        <f t="shared" si="62"/>
        <v>0</v>
      </c>
      <c r="R84" s="143">
        <f t="shared" si="62"/>
        <v>0</v>
      </c>
      <c r="S84" s="237"/>
      <c r="T84" s="143">
        <f t="shared" si="62"/>
        <v>0</v>
      </c>
      <c r="U84" s="163">
        <f t="shared" si="62"/>
        <v>0</v>
      </c>
      <c r="V84" s="163">
        <f t="shared" si="62"/>
        <v>0</v>
      </c>
      <c r="W84" s="49">
        <f t="shared" si="62"/>
        <v>0</v>
      </c>
      <c r="X84" s="163">
        <f t="shared" si="62"/>
        <v>0</v>
      </c>
    </row>
    <row r="85" spans="1:24">
      <c r="B85" s="34"/>
      <c r="C85" s="34"/>
      <c r="D85" s="70" t="s">
        <v>27</v>
      </c>
      <c r="E85" s="82" t="s">
        <v>135</v>
      </c>
      <c r="F85" s="96">
        <f t="shared" si="60"/>
        <v>4000</v>
      </c>
      <c r="G85" s="100">
        <f t="shared" si="61"/>
        <v>4000</v>
      </c>
      <c r="H85" s="105">
        <f t="shared" si="57"/>
        <v>1</v>
      </c>
      <c r="I85" s="109">
        <v>4000</v>
      </c>
      <c r="J85" s="144">
        <v>4000</v>
      </c>
      <c r="K85" s="105">
        <f t="shared" si="58"/>
        <v>1</v>
      </c>
      <c r="L85" s="147"/>
      <c r="M85" s="164"/>
      <c r="N85" s="167">
        <v>4000</v>
      </c>
      <c r="O85" s="50"/>
      <c r="P85" s="164"/>
      <c r="Q85" s="127"/>
      <c r="R85" s="147"/>
      <c r="S85" s="238"/>
      <c r="T85" s="147"/>
      <c r="U85" s="164"/>
      <c r="V85" s="164"/>
      <c r="W85" s="50"/>
      <c r="X85" s="164"/>
    </row>
    <row r="86" spans="1:24" s="6" customFormat="1">
      <c r="A86" s="229"/>
      <c r="B86" s="33"/>
      <c r="C86" s="33">
        <v>75295</v>
      </c>
      <c r="D86" s="67"/>
      <c r="E86" s="78" t="s">
        <v>64</v>
      </c>
      <c r="F86" s="95">
        <f t="shared" si="60"/>
        <v>44913</v>
      </c>
      <c r="G86" s="99">
        <f t="shared" si="61"/>
        <v>0</v>
      </c>
      <c r="H86" s="104">
        <f t="shared" si="57"/>
        <v>0</v>
      </c>
      <c r="I86" s="108">
        <f>SUM(I87)</f>
        <v>44913</v>
      </c>
      <c r="J86" s="143">
        <f>SUM(J87)</f>
        <v>0</v>
      </c>
      <c r="K86" s="104">
        <f t="shared" si="58"/>
        <v>0</v>
      </c>
      <c r="L86" s="143">
        <f>SUM(L87:L89)</f>
        <v>0</v>
      </c>
      <c r="M86" s="163">
        <f>SUM(M87:M89)</f>
        <v>0</v>
      </c>
      <c r="N86" s="163">
        <f>SUM(N87)</f>
        <v>0</v>
      </c>
      <c r="O86" s="163">
        <f t="shared" ref="O86:Q86" si="63">SUM(O87)</f>
        <v>0</v>
      </c>
      <c r="P86" s="163">
        <f t="shared" si="63"/>
        <v>0</v>
      </c>
      <c r="Q86" s="163">
        <f t="shared" si="63"/>
        <v>0</v>
      </c>
      <c r="R86" s="143">
        <f>SUM(R87)</f>
        <v>0</v>
      </c>
      <c r="S86" s="237"/>
      <c r="T86" s="143">
        <f>SUM(T87:T89)</f>
        <v>0</v>
      </c>
      <c r="U86" s="163">
        <f>SUM(U87:U89)</f>
        <v>0</v>
      </c>
      <c r="V86" s="163">
        <f>SUM(V87:V89)</f>
        <v>36400</v>
      </c>
      <c r="W86" s="49">
        <f>SUM(W87:W89)</f>
        <v>0</v>
      </c>
      <c r="X86" s="163">
        <f>SUM(X87:X89)</f>
        <v>0</v>
      </c>
    </row>
    <row r="87" spans="1:24">
      <c r="B87" s="34"/>
      <c r="C87" s="34"/>
      <c r="D87" s="70" t="s">
        <v>27</v>
      </c>
      <c r="E87" s="82" t="s">
        <v>135</v>
      </c>
      <c r="F87" s="96">
        <f t="shared" si="60"/>
        <v>44913</v>
      </c>
      <c r="G87" s="100">
        <f t="shared" si="61"/>
        <v>0</v>
      </c>
      <c r="H87" s="105">
        <f t="shared" si="57"/>
        <v>0</v>
      </c>
      <c r="I87" s="115">
        <v>44913</v>
      </c>
      <c r="J87" s="148">
        <v>0</v>
      </c>
      <c r="K87" s="105">
        <f t="shared" si="58"/>
        <v>0</v>
      </c>
      <c r="L87" s="147"/>
      <c r="M87" s="164"/>
      <c r="N87" s="164"/>
      <c r="O87" s="50"/>
      <c r="P87" s="164"/>
      <c r="Q87" s="127"/>
      <c r="R87" s="147"/>
      <c r="S87" s="238"/>
      <c r="T87" s="147"/>
      <c r="U87" s="164"/>
      <c r="V87" s="164"/>
      <c r="W87" s="50"/>
      <c r="X87" s="164"/>
    </row>
    <row r="88" spans="1:24" s="5" customFormat="1">
      <c r="A88" s="9"/>
      <c r="B88" s="36">
        <v>754</v>
      </c>
      <c r="C88" s="36"/>
      <c r="D88" s="71"/>
      <c r="E88" s="81" t="s">
        <v>36</v>
      </c>
      <c r="F88" s="97">
        <f>SUM(I88+Q88)</f>
        <v>5504927</v>
      </c>
      <c r="G88" s="101">
        <f>SUM(J88+R88)</f>
        <v>3388209.35</v>
      </c>
      <c r="H88" s="106">
        <f t="shared" si="8"/>
        <v>0.61548669946031986</v>
      </c>
      <c r="I88" s="97">
        <f>SUM(I89+I94+I96)</f>
        <v>5471727</v>
      </c>
      <c r="J88" s="101">
        <f>SUM(J89+J94+J96)</f>
        <v>3355009.35</v>
      </c>
      <c r="K88" s="106">
        <f t="shared" si="9"/>
        <v>0.61315364417851992</v>
      </c>
      <c r="L88" s="101">
        <f>SUM(L89+L96)</f>
        <v>0</v>
      </c>
      <c r="M88" s="101">
        <f t="shared" ref="M88:R88" si="64">SUM(M89+M96)</f>
        <v>0</v>
      </c>
      <c r="N88" s="101">
        <f>SUM(N89+N94+N96)</f>
        <v>3348447</v>
      </c>
      <c r="O88" s="101">
        <f t="shared" si="64"/>
        <v>0</v>
      </c>
      <c r="P88" s="101">
        <f t="shared" si="64"/>
        <v>0</v>
      </c>
      <c r="Q88" s="101">
        <f t="shared" si="64"/>
        <v>33200</v>
      </c>
      <c r="R88" s="101">
        <f t="shared" si="64"/>
        <v>33200</v>
      </c>
      <c r="S88" s="239">
        <f t="shared" si="13"/>
        <v>1</v>
      </c>
      <c r="T88" s="101">
        <f>SUM(T89+T96)</f>
        <v>0</v>
      </c>
      <c r="U88" s="165">
        <f t="shared" ref="U88:X88" si="65">SUM(U89+U96)</f>
        <v>0</v>
      </c>
      <c r="V88" s="165">
        <f t="shared" si="65"/>
        <v>18200</v>
      </c>
      <c r="W88" s="165">
        <f t="shared" si="65"/>
        <v>0</v>
      </c>
      <c r="X88" s="165">
        <f t="shared" si="65"/>
        <v>0</v>
      </c>
    </row>
    <row r="89" spans="1:24" s="6" customFormat="1">
      <c r="A89" s="229"/>
      <c r="B89" s="33"/>
      <c r="C89" s="33">
        <v>75411</v>
      </c>
      <c r="D89" s="67"/>
      <c r="E89" s="78" t="s">
        <v>138</v>
      </c>
      <c r="F89" s="95">
        <f t="shared" si="47"/>
        <v>5471927</v>
      </c>
      <c r="G89" s="99">
        <f t="shared" si="48"/>
        <v>3355209.35</v>
      </c>
      <c r="H89" s="104">
        <f t="shared" si="8"/>
        <v>0.61316778348833967</v>
      </c>
      <c r="I89" s="108">
        <f>SUM(I90:I93)</f>
        <v>5453727</v>
      </c>
      <c r="J89" s="143">
        <f>SUM(J90:J93)</f>
        <v>3337009.35</v>
      </c>
      <c r="K89" s="104">
        <f t="shared" si="9"/>
        <v>0.61187685962278637</v>
      </c>
      <c r="L89" s="143">
        <f t="shared" ref="L89:R89" si="66">SUM(L90:L93)</f>
        <v>0</v>
      </c>
      <c r="M89" s="163">
        <f t="shared" si="66"/>
        <v>0</v>
      </c>
      <c r="N89" s="163">
        <f t="shared" si="66"/>
        <v>3336447</v>
      </c>
      <c r="O89" s="49">
        <f t="shared" si="66"/>
        <v>0</v>
      </c>
      <c r="P89" s="163">
        <f t="shared" si="66"/>
        <v>0</v>
      </c>
      <c r="Q89" s="126">
        <f t="shared" si="66"/>
        <v>18200</v>
      </c>
      <c r="R89" s="143">
        <f t="shared" si="66"/>
        <v>18200</v>
      </c>
      <c r="S89" s="237">
        <f t="shared" si="13"/>
        <v>1</v>
      </c>
      <c r="T89" s="143">
        <f>SUM(T90:T93)</f>
        <v>0</v>
      </c>
      <c r="U89" s="163">
        <f>SUM(U90:U93)</f>
        <v>0</v>
      </c>
      <c r="V89" s="163">
        <f>SUM(V90:V93)</f>
        <v>18200</v>
      </c>
      <c r="W89" s="49">
        <f>SUM(W90:W93)</f>
        <v>0</v>
      </c>
      <c r="X89" s="163">
        <f>SUM(X90:X93)</f>
        <v>0</v>
      </c>
    </row>
    <row r="90" spans="1:24">
      <c r="B90" s="34"/>
      <c r="C90" s="34"/>
      <c r="D90" s="70" t="s">
        <v>29</v>
      </c>
      <c r="E90" s="82" t="s">
        <v>163</v>
      </c>
      <c r="F90" s="96">
        <f t="shared" si="47"/>
        <v>0</v>
      </c>
      <c r="G90" s="100">
        <f t="shared" si="48"/>
        <v>562.30999999999995</v>
      </c>
      <c r="H90" s="105" t="e">
        <f t="shared" ref="H90:H173" si="67">SUM(G90/F90)</f>
        <v>#DIV/0!</v>
      </c>
      <c r="I90" s="112">
        <v>0</v>
      </c>
      <c r="J90" s="151">
        <v>562.30999999999995</v>
      </c>
      <c r="K90" s="105"/>
      <c r="L90" s="147"/>
      <c r="M90" s="164"/>
      <c r="N90" s="164"/>
      <c r="O90" s="50"/>
      <c r="P90" s="164"/>
      <c r="Q90" s="127"/>
      <c r="R90" s="147"/>
      <c r="S90" s="238"/>
      <c r="T90" s="147"/>
      <c r="U90" s="164"/>
      <c r="V90" s="164"/>
      <c r="W90" s="50"/>
      <c r="X90" s="164"/>
    </row>
    <row r="91" spans="1:24">
      <c r="B91" s="34"/>
      <c r="C91" s="34"/>
      <c r="D91" s="70" t="s">
        <v>27</v>
      </c>
      <c r="E91" s="82" t="s">
        <v>135</v>
      </c>
      <c r="F91" s="96">
        <f t="shared" si="47"/>
        <v>5453727</v>
      </c>
      <c r="G91" s="100">
        <f t="shared" si="48"/>
        <v>3336447</v>
      </c>
      <c r="H91" s="105">
        <f t="shared" si="67"/>
        <v>0.61177374665068496</v>
      </c>
      <c r="I91" s="109">
        <v>5453727</v>
      </c>
      <c r="J91" s="151">
        <v>3336447</v>
      </c>
      <c r="K91" s="105">
        <f t="shared" ref="K91:K173" si="68">SUM(J91/I91)</f>
        <v>0.61177374665068496</v>
      </c>
      <c r="L91" s="147"/>
      <c r="M91" s="164"/>
      <c r="N91" s="201">
        <v>3336447</v>
      </c>
      <c r="O91" s="50"/>
      <c r="P91" s="164"/>
      <c r="Q91" s="127"/>
      <c r="R91" s="147"/>
      <c r="S91" s="238"/>
      <c r="T91" s="147"/>
      <c r="U91" s="164"/>
      <c r="V91" s="164"/>
      <c r="W91" s="50"/>
      <c r="X91" s="164"/>
    </row>
    <row r="92" spans="1:24" ht="12" customHeight="1">
      <c r="B92" s="34"/>
      <c r="C92" s="34"/>
      <c r="D92" s="70" t="s">
        <v>25</v>
      </c>
      <c r="E92" s="82" t="s">
        <v>139</v>
      </c>
      <c r="F92" s="96">
        <f t="shared" si="47"/>
        <v>0</v>
      </c>
      <c r="G92" s="100">
        <f t="shared" si="48"/>
        <v>0.04</v>
      </c>
      <c r="H92" s="105" t="e">
        <f t="shared" si="67"/>
        <v>#DIV/0!</v>
      </c>
      <c r="I92" s="112">
        <v>0</v>
      </c>
      <c r="J92" s="151">
        <f>0.02+0.02</f>
        <v>0.04</v>
      </c>
      <c r="K92" s="105"/>
      <c r="L92" s="147"/>
      <c r="M92" s="164"/>
      <c r="N92" s="164"/>
      <c r="O92" s="50"/>
      <c r="P92" s="164"/>
      <c r="Q92" s="127"/>
      <c r="R92" s="147"/>
      <c r="S92" s="238"/>
      <c r="T92" s="147"/>
      <c r="U92" s="164"/>
      <c r="V92" s="164"/>
      <c r="W92" s="50"/>
      <c r="X92" s="164"/>
    </row>
    <row r="93" spans="1:24">
      <c r="B93" s="34"/>
      <c r="C93" s="34"/>
      <c r="D93" s="70" t="s">
        <v>37</v>
      </c>
      <c r="E93" s="82" t="s">
        <v>135</v>
      </c>
      <c r="F93" s="96">
        <f t="shared" si="47"/>
        <v>18200</v>
      </c>
      <c r="G93" s="100">
        <f t="shared" si="48"/>
        <v>18200</v>
      </c>
      <c r="H93" s="105">
        <f t="shared" si="67"/>
        <v>1</v>
      </c>
      <c r="I93" s="109"/>
      <c r="J93" s="151"/>
      <c r="K93" s="105"/>
      <c r="L93" s="147"/>
      <c r="M93" s="164"/>
      <c r="N93" s="164"/>
      <c r="O93" s="50"/>
      <c r="P93" s="164"/>
      <c r="Q93" s="134">
        <v>18200</v>
      </c>
      <c r="R93" s="151">
        <v>18200</v>
      </c>
      <c r="S93" s="238">
        <f t="shared" ref="S93:S124" si="69">SUM(R93/Q93)</f>
        <v>1</v>
      </c>
      <c r="T93" s="147"/>
      <c r="U93" s="164"/>
      <c r="V93" s="164">
        <v>18200</v>
      </c>
      <c r="W93" s="50"/>
      <c r="X93" s="164"/>
    </row>
    <row r="94" spans="1:24" s="6" customFormat="1">
      <c r="A94" s="229"/>
      <c r="B94" s="33"/>
      <c r="C94" s="33">
        <v>75414</v>
      </c>
      <c r="D94" s="67"/>
      <c r="E94" s="78"/>
      <c r="F94" s="95">
        <f t="shared" si="47"/>
        <v>12000</v>
      </c>
      <c r="G94" s="99">
        <f t="shared" si="48"/>
        <v>12000</v>
      </c>
      <c r="H94" s="104">
        <f t="shared" si="67"/>
        <v>1</v>
      </c>
      <c r="I94" s="108">
        <f>SUM(I95)</f>
        <v>12000</v>
      </c>
      <c r="J94" s="143">
        <f>SUM(J95)</f>
        <v>12000</v>
      </c>
      <c r="K94" s="104">
        <f t="shared" ref="K94:K95" si="70">SUM(J94/I94)</f>
        <v>1</v>
      </c>
      <c r="L94" s="143">
        <f>SUM(L95:L97)</f>
        <v>0</v>
      </c>
      <c r="M94" s="163">
        <f>SUM(M95:M97)</f>
        <v>0</v>
      </c>
      <c r="N94" s="163">
        <f>SUM(N95)</f>
        <v>12000</v>
      </c>
      <c r="O94" s="163">
        <f t="shared" ref="O94" si="71">SUM(O95)</f>
        <v>0</v>
      </c>
      <c r="P94" s="163">
        <f t="shared" ref="P94" si="72">SUM(P95)</f>
        <v>0</v>
      </c>
      <c r="Q94" s="163">
        <f t="shared" ref="Q94" si="73">SUM(Q95)</f>
        <v>0</v>
      </c>
      <c r="R94" s="143">
        <f>SUM(R95)</f>
        <v>0</v>
      </c>
      <c r="S94" s="237"/>
      <c r="T94" s="143">
        <f>SUM(T95:T97)</f>
        <v>0</v>
      </c>
      <c r="U94" s="163">
        <f>SUM(U95:U97)</f>
        <v>0</v>
      </c>
      <c r="V94" s="163">
        <f>SUM(V95:V97)</f>
        <v>0</v>
      </c>
      <c r="W94" s="49">
        <f>SUM(W95:W97)</f>
        <v>0</v>
      </c>
      <c r="X94" s="163">
        <f>SUM(X95:X97)</f>
        <v>0</v>
      </c>
    </row>
    <row r="95" spans="1:24">
      <c r="B95" s="34"/>
      <c r="C95" s="34"/>
      <c r="D95" s="70" t="s">
        <v>27</v>
      </c>
      <c r="E95" s="82" t="s">
        <v>135</v>
      </c>
      <c r="F95" s="96">
        <f t="shared" si="47"/>
        <v>12000</v>
      </c>
      <c r="G95" s="100">
        <f t="shared" si="48"/>
        <v>12000</v>
      </c>
      <c r="H95" s="105">
        <f t="shared" si="67"/>
        <v>1</v>
      </c>
      <c r="I95" s="115">
        <v>12000</v>
      </c>
      <c r="J95" s="148">
        <v>12000</v>
      </c>
      <c r="K95" s="105">
        <f t="shared" si="70"/>
        <v>1</v>
      </c>
      <c r="L95" s="147"/>
      <c r="M95" s="164"/>
      <c r="N95" s="164">
        <v>12000</v>
      </c>
      <c r="O95" s="50"/>
      <c r="P95" s="164"/>
      <c r="Q95" s="127"/>
      <c r="R95" s="147"/>
      <c r="S95" s="238"/>
      <c r="T95" s="147"/>
      <c r="U95" s="164"/>
      <c r="V95" s="164"/>
      <c r="W95" s="50"/>
      <c r="X95" s="164"/>
    </row>
    <row r="96" spans="1:24" s="6" customFormat="1">
      <c r="A96" s="229"/>
      <c r="B96" s="37"/>
      <c r="C96" s="37">
        <v>75495</v>
      </c>
      <c r="D96" s="73" t="s">
        <v>64</v>
      </c>
      <c r="E96" s="84" t="s">
        <v>165</v>
      </c>
      <c r="F96" s="95">
        <f>SUM(I96+Q96)</f>
        <v>21000</v>
      </c>
      <c r="G96" s="99">
        <f t="shared" si="48"/>
        <v>21000</v>
      </c>
      <c r="H96" s="104">
        <f t="shared" si="67"/>
        <v>1</v>
      </c>
      <c r="I96" s="116">
        <f>SUM(I97:I99)</f>
        <v>6000</v>
      </c>
      <c r="J96" s="116">
        <f>SUM(J97:J99)</f>
        <v>6000</v>
      </c>
      <c r="K96" s="104">
        <f>SUM(J96/I96)</f>
        <v>1</v>
      </c>
      <c r="L96" s="150">
        <f>SUM(L97:L98)</f>
        <v>0</v>
      </c>
      <c r="M96" s="150">
        <f t="shared" ref="M96:P96" si="74">SUM(M97:M98)</f>
        <v>0</v>
      </c>
      <c r="N96" s="150">
        <f t="shared" si="74"/>
        <v>0</v>
      </c>
      <c r="O96" s="150">
        <f t="shared" si="74"/>
        <v>0</v>
      </c>
      <c r="P96" s="150">
        <f t="shared" si="74"/>
        <v>0</v>
      </c>
      <c r="Q96" s="116">
        <f>SUM(Q97:Q99)</f>
        <v>15000</v>
      </c>
      <c r="R96" s="116">
        <f>SUM(R97:R99)</f>
        <v>15000</v>
      </c>
      <c r="S96" s="237">
        <f t="shared" ref="S96" si="75">SUM(R96/Q96)</f>
        <v>1</v>
      </c>
      <c r="T96" s="150">
        <f>SUM(T97:T97)</f>
        <v>0</v>
      </c>
      <c r="U96" s="169">
        <f>SUM(U97:U97)</f>
        <v>0</v>
      </c>
      <c r="V96" s="169">
        <f>SUM(V97:V97)</f>
        <v>0</v>
      </c>
      <c r="W96" s="54">
        <f>SUM(W97:W97)</f>
        <v>0</v>
      </c>
      <c r="X96" s="169">
        <f>SUM(X97:X97)</f>
        <v>0</v>
      </c>
    </row>
    <row r="97" spans="1:24" s="6" customFormat="1">
      <c r="A97" s="229"/>
      <c r="B97" s="34"/>
      <c r="C97" s="34"/>
      <c r="D97" s="70" t="s">
        <v>16</v>
      </c>
      <c r="E97" s="82" t="s">
        <v>186</v>
      </c>
      <c r="F97" s="96">
        <f t="shared" si="47"/>
        <v>6000</v>
      </c>
      <c r="G97" s="100">
        <f t="shared" si="48"/>
        <v>6000</v>
      </c>
      <c r="H97" s="105">
        <f t="shared" si="67"/>
        <v>1</v>
      </c>
      <c r="I97" s="109">
        <v>6000</v>
      </c>
      <c r="J97" s="149">
        <v>6000</v>
      </c>
      <c r="K97" s="105">
        <f>SUM(J97/I97)</f>
        <v>1</v>
      </c>
      <c r="L97" s="149"/>
      <c r="M97" s="170"/>
      <c r="N97" s="170"/>
      <c r="O97" s="55"/>
      <c r="P97" s="170"/>
      <c r="Q97" s="134"/>
      <c r="R97" s="149"/>
      <c r="S97" s="238"/>
      <c r="T97" s="149"/>
      <c r="U97" s="170"/>
      <c r="V97" s="170"/>
      <c r="W97" s="55"/>
      <c r="X97" s="170"/>
    </row>
    <row r="98" spans="1:24" s="6" customFormat="1" hidden="1">
      <c r="A98" s="229"/>
      <c r="B98" s="34"/>
      <c r="C98" s="34"/>
      <c r="D98" s="70" t="s">
        <v>17</v>
      </c>
      <c r="E98" s="82" t="s">
        <v>111</v>
      </c>
      <c r="F98" s="96">
        <f t="shared" ref="F98:F99" si="76">SUM(I98+Q98)</f>
        <v>0</v>
      </c>
      <c r="G98" s="100">
        <f t="shared" ref="G98:G99" si="77">SUM(J98+R98)</f>
        <v>0</v>
      </c>
      <c r="H98" s="105" t="e">
        <f t="shared" ref="H98:H99" si="78">SUM(G98/F98)</f>
        <v>#DIV/0!</v>
      </c>
      <c r="I98" s="109"/>
      <c r="J98" s="149"/>
      <c r="K98" s="105" t="e">
        <f>SUM(J98/I98)</f>
        <v>#DIV/0!</v>
      </c>
      <c r="L98" s="149"/>
      <c r="M98" s="149"/>
      <c r="N98" s="149"/>
      <c r="O98" s="231"/>
      <c r="P98" s="149"/>
      <c r="Q98" s="232"/>
      <c r="R98" s="149"/>
      <c r="S98" s="238"/>
      <c r="T98" s="149"/>
      <c r="U98" s="170"/>
      <c r="V98" s="149"/>
      <c r="W98" s="231"/>
      <c r="X98" s="149"/>
    </row>
    <row r="99" spans="1:24" s="6" customFormat="1">
      <c r="A99" s="229"/>
      <c r="B99" s="34"/>
      <c r="C99" s="34"/>
      <c r="D99" s="70" t="s">
        <v>102</v>
      </c>
      <c r="E99" s="79" t="s">
        <v>140</v>
      </c>
      <c r="F99" s="96">
        <f t="shared" si="76"/>
        <v>15000</v>
      </c>
      <c r="G99" s="100">
        <f t="shared" si="77"/>
        <v>15000</v>
      </c>
      <c r="H99" s="105">
        <f t="shared" si="78"/>
        <v>1</v>
      </c>
      <c r="I99" s="109"/>
      <c r="J99" s="149"/>
      <c r="K99" s="265"/>
      <c r="L99" s="149"/>
      <c r="M99" s="149"/>
      <c r="N99" s="149"/>
      <c r="O99" s="231"/>
      <c r="P99" s="149"/>
      <c r="Q99" s="232">
        <v>15000</v>
      </c>
      <c r="R99" s="149">
        <v>15000</v>
      </c>
      <c r="S99" s="105">
        <f>SUM(R99/Q99)</f>
        <v>1</v>
      </c>
      <c r="T99" s="149"/>
      <c r="U99" s="170"/>
      <c r="V99" s="149"/>
      <c r="W99" s="231"/>
      <c r="X99" s="149"/>
    </row>
    <row r="100" spans="1:24">
      <c r="B100" s="220">
        <v>755</v>
      </c>
      <c r="C100" s="220"/>
      <c r="D100" s="219"/>
      <c r="E100" s="221" t="s">
        <v>166</v>
      </c>
      <c r="F100" s="222">
        <f>SUM(I100+Q100)</f>
        <v>187812</v>
      </c>
      <c r="G100" s="223">
        <f>SUM(J100+R100)</f>
        <v>93906</v>
      </c>
      <c r="H100" s="224">
        <f t="shared" ref="H100:H102" si="79">SUM(G100/F100)</f>
        <v>0.5</v>
      </c>
      <c r="I100" s="225">
        <f>SUM(I101)</f>
        <v>187812</v>
      </c>
      <c r="J100" s="226">
        <f>SUM(J101)</f>
        <v>93906</v>
      </c>
      <c r="K100" s="224">
        <f t="shared" ref="K100:K102" si="80">SUM(J100/I100)</f>
        <v>0.5</v>
      </c>
      <c r="L100" s="227">
        <f>SUM(L101)</f>
        <v>0</v>
      </c>
      <c r="M100" s="227">
        <f t="shared" ref="M100:X100" si="81">SUM(M101)</f>
        <v>0</v>
      </c>
      <c r="N100" s="227">
        <f t="shared" si="81"/>
        <v>93906</v>
      </c>
      <c r="O100" s="227">
        <f t="shared" si="81"/>
        <v>0</v>
      </c>
      <c r="P100" s="227">
        <f t="shared" si="81"/>
        <v>0</v>
      </c>
      <c r="Q100" s="227">
        <f t="shared" si="81"/>
        <v>0</v>
      </c>
      <c r="R100" s="227">
        <f t="shared" si="81"/>
        <v>0</v>
      </c>
      <c r="S100" s="241">
        <f t="shared" si="81"/>
        <v>0</v>
      </c>
      <c r="T100" s="227">
        <f t="shared" si="81"/>
        <v>0</v>
      </c>
      <c r="U100" s="241">
        <f t="shared" si="81"/>
        <v>0</v>
      </c>
      <c r="V100" s="227">
        <f t="shared" si="81"/>
        <v>0</v>
      </c>
      <c r="W100" s="227">
        <f t="shared" si="81"/>
        <v>0</v>
      </c>
      <c r="X100" s="227">
        <f t="shared" si="81"/>
        <v>0</v>
      </c>
    </row>
    <row r="101" spans="1:24">
      <c r="B101" s="45"/>
      <c r="C101" s="45">
        <v>75515</v>
      </c>
      <c r="D101" s="73"/>
      <c r="E101" s="91" t="s">
        <v>167</v>
      </c>
      <c r="F101" s="95">
        <f t="shared" ref="F101:F102" si="82">SUM(I101+Q101)</f>
        <v>187812</v>
      </c>
      <c r="G101" s="99">
        <f t="shared" ref="G101:G102" si="83">SUM(J101+R101)</f>
        <v>93906</v>
      </c>
      <c r="H101" s="104">
        <f t="shared" si="79"/>
        <v>0.5</v>
      </c>
      <c r="I101" s="116">
        <f>SUM(I102)</f>
        <v>187812</v>
      </c>
      <c r="J101" s="150">
        <f t="shared" ref="J101:X101" si="84">SUM(J102)</f>
        <v>93906</v>
      </c>
      <c r="K101" s="104">
        <f t="shared" si="80"/>
        <v>0.5</v>
      </c>
      <c r="L101" s="161">
        <f t="shared" si="84"/>
        <v>0</v>
      </c>
      <c r="M101" s="179">
        <f t="shared" si="84"/>
        <v>0</v>
      </c>
      <c r="N101" s="179">
        <f t="shared" si="84"/>
        <v>93906</v>
      </c>
      <c r="O101" s="61">
        <f t="shared" si="84"/>
        <v>0</v>
      </c>
      <c r="P101" s="179">
        <f t="shared" si="84"/>
        <v>0</v>
      </c>
      <c r="Q101" s="140">
        <f t="shared" si="84"/>
        <v>0</v>
      </c>
      <c r="R101" s="161">
        <f t="shared" si="84"/>
        <v>0</v>
      </c>
      <c r="S101" s="237"/>
      <c r="T101" s="161">
        <f t="shared" si="84"/>
        <v>0</v>
      </c>
      <c r="U101" s="179">
        <f t="shared" si="84"/>
        <v>0</v>
      </c>
      <c r="V101" s="179">
        <f t="shared" si="84"/>
        <v>0</v>
      </c>
      <c r="W101" s="61">
        <f t="shared" si="84"/>
        <v>0</v>
      </c>
      <c r="X101" s="179">
        <f t="shared" si="84"/>
        <v>0</v>
      </c>
    </row>
    <row r="102" spans="1:24">
      <c r="B102" s="34"/>
      <c r="C102" s="34"/>
      <c r="D102" s="70" t="s">
        <v>27</v>
      </c>
      <c r="E102" s="82" t="s">
        <v>135</v>
      </c>
      <c r="F102" s="96">
        <f t="shared" si="82"/>
        <v>187812</v>
      </c>
      <c r="G102" s="100">
        <f t="shared" si="83"/>
        <v>93906</v>
      </c>
      <c r="H102" s="105">
        <f t="shared" si="79"/>
        <v>0.5</v>
      </c>
      <c r="I102" s="109">
        <v>187812</v>
      </c>
      <c r="J102" s="149">
        <v>93906</v>
      </c>
      <c r="K102" s="105">
        <f t="shared" si="80"/>
        <v>0.5</v>
      </c>
      <c r="L102" s="147"/>
      <c r="M102" s="164"/>
      <c r="N102" s="164">
        <v>93906</v>
      </c>
      <c r="O102" s="50"/>
      <c r="P102" s="164"/>
      <c r="Q102" s="127"/>
      <c r="R102" s="147"/>
      <c r="S102" s="238"/>
      <c r="T102" s="147"/>
      <c r="U102" s="164"/>
      <c r="V102" s="164"/>
      <c r="W102" s="50"/>
      <c r="X102" s="164"/>
    </row>
    <row r="103" spans="1:24" s="5" customFormat="1">
      <c r="A103" s="9"/>
      <c r="B103" s="36">
        <v>756</v>
      </c>
      <c r="C103" s="36"/>
      <c r="D103" s="71"/>
      <c r="E103" s="81" t="s">
        <v>142</v>
      </c>
      <c r="F103" s="97">
        <f t="shared" si="47"/>
        <v>14747213</v>
      </c>
      <c r="G103" s="101">
        <f t="shared" si="48"/>
        <v>7310131.9399999995</v>
      </c>
      <c r="H103" s="106">
        <f t="shared" si="67"/>
        <v>0.4956958267301082</v>
      </c>
      <c r="I103" s="110">
        <f>SUM(I104+I108)</f>
        <v>14747213</v>
      </c>
      <c r="J103" s="145">
        <f>SUM(J104+J108)</f>
        <v>7310131.9399999995</v>
      </c>
      <c r="K103" s="106">
        <f t="shared" si="68"/>
        <v>0.4956958267301082</v>
      </c>
      <c r="L103" s="145">
        <f t="shared" ref="L103:R103" si="85">SUM(L104+L108)</f>
        <v>0</v>
      </c>
      <c r="M103" s="166">
        <f t="shared" si="85"/>
        <v>0</v>
      </c>
      <c r="N103" s="166">
        <f t="shared" si="85"/>
        <v>0</v>
      </c>
      <c r="O103" s="52">
        <f t="shared" si="85"/>
        <v>0</v>
      </c>
      <c r="P103" s="166">
        <f t="shared" si="85"/>
        <v>0</v>
      </c>
      <c r="Q103" s="129">
        <f t="shared" si="85"/>
        <v>0</v>
      </c>
      <c r="R103" s="145">
        <f t="shared" si="85"/>
        <v>0</v>
      </c>
      <c r="S103" s="239"/>
      <c r="T103" s="145">
        <f>SUM(T104+T108)</f>
        <v>0</v>
      </c>
      <c r="U103" s="166">
        <f>SUM(U104+U108)</f>
        <v>0</v>
      </c>
      <c r="V103" s="166">
        <f>SUM(V104+V108)</f>
        <v>0</v>
      </c>
      <c r="W103" s="52">
        <f>SUM(W104+W108)</f>
        <v>0</v>
      </c>
      <c r="X103" s="166">
        <f>SUM(X104+X108)</f>
        <v>0</v>
      </c>
    </row>
    <row r="104" spans="1:24" s="6" customFormat="1">
      <c r="A104" s="229"/>
      <c r="B104" s="33"/>
      <c r="C104" s="33">
        <v>75618</v>
      </c>
      <c r="D104" s="67"/>
      <c r="E104" s="85" t="s">
        <v>38</v>
      </c>
      <c r="F104" s="95">
        <f t="shared" si="47"/>
        <v>361000</v>
      </c>
      <c r="G104" s="99">
        <f t="shared" si="48"/>
        <v>333185.81</v>
      </c>
      <c r="H104" s="104">
        <f t="shared" si="67"/>
        <v>0.92295238227146814</v>
      </c>
      <c r="I104" s="111">
        <f>SUM(I105:I107)</f>
        <v>361000</v>
      </c>
      <c r="J104" s="146">
        <f>SUM(J105:J107)</f>
        <v>333185.81</v>
      </c>
      <c r="K104" s="104">
        <f t="shared" si="68"/>
        <v>0.92295238227146814</v>
      </c>
      <c r="L104" s="146">
        <f t="shared" ref="L104:X104" si="86">SUM(L105:L107)</f>
        <v>0</v>
      </c>
      <c r="M104" s="168">
        <f t="shared" si="86"/>
        <v>0</v>
      </c>
      <c r="N104" s="168">
        <f t="shared" si="86"/>
        <v>0</v>
      </c>
      <c r="O104" s="53">
        <f t="shared" si="86"/>
        <v>0</v>
      </c>
      <c r="P104" s="168">
        <f t="shared" si="86"/>
        <v>0</v>
      </c>
      <c r="Q104" s="130">
        <f t="shared" si="86"/>
        <v>0</v>
      </c>
      <c r="R104" s="146">
        <f t="shared" si="86"/>
        <v>0</v>
      </c>
      <c r="S104" s="237"/>
      <c r="T104" s="146">
        <f t="shared" si="86"/>
        <v>0</v>
      </c>
      <c r="U104" s="168">
        <f t="shared" si="86"/>
        <v>0</v>
      </c>
      <c r="V104" s="168">
        <f t="shared" si="86"/>
        <v>0</v>
      </c>
      <c r="W104" s="53">
        <f t="shared" si="86"/>
        <v>0</v>
      </c>
      <c r="X104" s="168">
        <f t="shared" si="86"/>
        <v>0</v>
      </c>
    </row>
    <row r="105" spans="1:24">
      <c r="B105" s="34"/>
      <c r="C105" s="34"/>
      <c r="D105" s="70" t="s">
        <v>39</v>
      </c>
      <c r="E105" s="82" t="s">
        <v>40</v>
      </c>
      <c r="F105" s="96">
        <f t="shared" si="47"/>
        <v>361000</v>
      </c>
      <c r="G105" s="100">
        <f t="shared" si="48"/>
        <v>332941.69</v>
      </c>
      <c r="H105" s="105">
        <f t="shared" si="67"/>
        <v>0.92227614958448756</v>
      </c>
      <c r="I105" s="113">
        <f>261000+100000</f>
        <v>361000</v>
      </c>
      <c r="J105" s="144">
        <f>260257+72684.69</f>
        <v>332941.69</v>
      </c>
      <c r="K105" s="105">
        <f t="shared" si="68"/>
        <v>0.92227614958448756</v>
      </c>
      <c r="L105" s="147"/>
      <c r="M105" s="164"/>
      <c r="N105" s="164"/>
      <c r="O105" s="50"/>
      <c r="P105" s="164"/>
      <c r="Q105" s="127"/>
      <c r="R105" s="147"/>
      <c r="S105" s="238"/>
      <c r="T105" s="147"/>
      <c r="U105" s="164"/>
      <c r="V105" s="164"/>
      <c r="W105" s="50"/>
      <c r="X105" s="164"/>
    </row>
    <row r="106" spans="1:24">
      <c r="B106" s="34"/>
      <c r="C106" s="34"/>
      <c r="D106" s="72" t="s">
        <v>180</v>
      </c>
      <c r="E106" s="82" t="s">
        <v>181</v>
      </c>
      <c r="F106" s="96">
        <f t="shared" si="47"/>
        <v>0</v>
      </c>
      <c r="G106" s="100">
        <f t="shared" si="48"/>
        <v>243</v>
      </c>
      <c r="H106" s="105"/>
      <c r="I106" s="113">
        <v>0</v>
      </c>
      <c r="J106" s="144">
        <f>196.6+46.4</f>
        <v>243</v>
      </c>
      <c r="K106" s="105"/>
      <c r="L106" s="147"/>
      <c r="M106" s="164"/>
      <c r="N106" s="164"/>
      <c r="O106" s="50"/>
      <c r="P106" s="164"/>
      <c r="Q106" s="127"/>
      <c r="R106" s="147"/>
      <c r="S106" s="238"/>
      <c r="T106" s="147"/>
      <c r="U106" s="164"/>
      <c r="V106" s="164"/>
      <c r="W106" s="50"/>
      <c r="X106" s="164"/>
    </row>
    <row r="107" spans="1:24">
      <c r="B107" s="34"/>
      <c r="C107" s="34"/>
      <c r="D107" s="70" t="s">
        <v>29</v>
      </c>
      <c r="E107" s="82" t="s">
        <v>163</v>
      </c>
      <c r="F107" s="96">
        <f t="shared" si="47"/>
        <v>0</v>
      </c>
      <c r="G107" s="100">
        <f t="shared" si="48"/>
        <v>1.1200000000000001</v>
      </c>
      <c r="H107" s="105"/>
      <c r="I107" s="114">
        <v>0</v>
      </c>
      <c r="J107" s="148">
        <v>1.1200000000000001</v>
      </c>
      <c r="K107" s="105"/>
      <c r="L107" s="147"/>
      <c r="M107" s="164"/>
      <c r="N107" s="164"/>
      <c r="O107" s="50"/>
      <c r="P107" s="164"/>
      <c r="Q107" s="127"/>
      <c r="R107" s="147"/>
      <c r="S107" s="238"/>
      <c r="T107" s="147"/>
      <c r="U107" s="164"/>
      <c r="V107" s="164"/>
      <c r="W107" s="50"/>
      <c r="X107" s="164"/>
    </row>
    <row r="108" spans="1:24" s="6" customFormat="1">
      <c r="A108" s="229"/>
      <c r="B108" s="39"/>
      <c r="C108" s="39">
        <v>75622</v>
      </c>
      <c r="D108" s="67"/>
      <c r="E108" s="86" t="s">
        <v>141</v>
      </c>
      <c r="F108" s="95">
        <f t="shared" si="47"/>
        <v>14386213</v>
      </c>
      <c r="G108" s="99">
        <f t="shared" si="48"/>
        <v>6976946.1299999999</v>
      </c>
      <c r="H108" s="104">
        <f t="shared" si="67"/>
        <v>0.48497447729989818</v>
      </c>
      <c r="I108" s="117">
        <f>SUM(I109:I110)</f>
        <v>14386213</v>
      </c>
      <c r="J108" s="152">
        <f t="shared" ref="J108:X108" si="87">SUM(J109:J110)</f>
        <v>6976946.1299999999</v>
      </c>
      <c r="K108" s="104">
        <f t="shared" si="68"/>
        <v>0.48497447729989818</v>
      </c>
      <c r="L108" s="152">
        <f t="shared" si="87"/>
        <v>0</v>
      </c>
      <c r="M108" s="172">
        <f t="shared" si="87"/>
        <v>0</v>
      </c>
      <c r="N108" s="172">
        <f t="shared" si="87"/>
        <v>0</v>
      </c>
      <c r="O108" s="57">
        <f t="shared" si="87"/>
        <v>0</v>
      </c>
      <c r="P108" s="172">
        <f t="shared" si="87"/>
        <v>0</v>
      </c>
      <c r="Q108" s="136">
        <f t="shared" si="87"/>
        <v>0</v>
      </c>
      <c r="R108" s="152">
        <f t="shared" si="87"/>
        <v>0</v>
      </c>
      <c r="S108" s="237"/>
      <c r="T108" s="152">
        <f t="shared" si="87"/>
        <v>0</v>
      </c>
      <c r="U108" s="172">
        <f t="shared" si="87"/>
        <v>0</v>
      </c>
      <c r="V108" s="172">
        <f t="shared" si="87"/>
        <v>0</v>
      </c>
      <c r="W108" s="57">
        <f t="shared" si="87"/>
        <v>0</v>
      </c>
      <c r="X108" s="172">
        <f t="shared" si="87"/>
        <v>0</v>
      </c>
    </row>
    <row r="109" spans="1:24">
      <c r="B109" s="34"/>
      <c r="C109" s="34"/>
      <c r="D109" s="70" t="s">
        <v>41</v>
      </c>
      <c r="E109" s="79" t="s">
        <v>42</v>
      </c>
      <c r="F109" s="96">
        <f t="shared" si="47"/>
        <v>13940726</v>
      </c>
      <c r="G109" s="100">
        <f t="shared" si="48"/>
        <v>6722975</v>
      </c>
      <c r="H109" s="105">
        <f t="shared" si="67"/>
        <v>0.4822542957949249</v>
      </c>
      <c r="I109" s="115">
        <v>13940726</v>
      </c>
      <c r="J109" s="151">
        <v>6722975</v>
      </c>
      <c r="K109" s="105">
        <f t="shared" si="68"/>
        <v>0.4822542957949249</v>
      </c>
      <c r="L109" s="147"/>
      <c r="M109" s="164"/>
      <c r="N109" s="164"/>
      <c r="O109" s="50"/>
      <c r="P109" s="164"/>
      <c r="Q109" s="127"/>
      <c r="R109" s="147"/>
      <c r="S109" s="238"/>
      <c r="T109" s="147"/>
      <c r="U109" s="164"/>
      <c r="V109" s="164"/>
      <c r="W109" s="50"/>
      <c r="X109" s="164"/>
    </row>
    <row r="110" spans="1:24">
      <c r="B110" s="34"/>
      <c r="C110" s="34"/>
      <c r="D110" s="70" t="s">
        <v>43</v>
      </c>
      <c r="E110" s="79" t="s">
        <v>44</v>
      </c>
      <c r="F110" s="96">
        <f t="shared" si="47"/>
        <v>445487</v>
      </c>
      <c r="G110" s="100">
        <f t="shared" si="48"/>
        <v>253971.13</v>
      </c>
      <c r="H110" s="105">
        <f t="shared" si="67"/>
        <v>0.57009773573639633</v>
      </c>
      <c r="I110" s="115">
        <v>445487</v>
      </c>
      <c r="J110" s="151">
        <v>253971.13</v>
      </c>
      <c r="K110" s="105">
        <f t="shared" si="68"/>
        <v>0.57009773573639633</v>
      </c>
      <c r="L110" s="147"/>
      <c r="M110" s="164"/>
      <c r="N110" s="164"/>
      <c r="O110" s="50"/>
      <c r="P110" s="164"/>
      <c r="Q110" s="127"/>
      <c r="R110" s="147"/>
      <c r="S110" s="238"/>
      <c r="T110" s="147"/>
      <c r="U110" s="164"/>
      <c r="V110" s="164"/>
      <c r="W110" s="50"/>
      <c r="X110" s="164"/>
    </row>
    <row r="111" spans="1:24" s="5" customFormat="1">
      <c r="A111" s="9"/>
      <c r="B111" s="36">
        <v>758</v>
      </c>
      <c r="C111" s="36"/>
      <c r="D111" s="71"/>
      <c r="E111" s="81" t="s">
        <v>45</v>
      </c>
      <c r="F111" s="97">
        <f>SUM(I111+Q111)</f>
        <v>34892212</v>
      </c>
      <c r="G111" s="101">
        <f t="shared" si="48"/>
        <v>21091904.100000001</v>
      </c>
      <c r="H111" s="106">
        <f t="shared" si="67"/>
        <v>0.60448744550789735</v>
      </c>
      <c r="I111" s="110">
        <f>SUM(I112+I114+I116+I118+I122)</f>
        <v>34892212</v>
      </c>
      <c r="J111" s="145">
        <f>SUM(J112+J114+J116+J118+J122)</f>
        <v>21091904.100000001</v>
      </c>
      <c r="K111" s="106">
        <f t="shared" si="68"/>
        <v>0.60448744550789735</v>
      </c>
      <c r="L111" s="145">
        <f t="shared" ref="L111:R111" si="88">SUM(L112+L116+L118+L122)</f>
        <v>0</v>
      </c>
      <c r="M111" s="166">
        <f t="shared" si="88"/>
        <v>0</v>
      </c>
      <c r="N111" s="166">
        <f t="shared" si="88"/>
        <v>0</v>
      </c>
      <c r="O111" s="52">
        <f t="shared" si="88"/>
        <v>0</v>
      </c>
      <c r="P111" s="166">
        <f t="shared" si="88"/>
        <v>0</v>
      </c>
      <c r="Q111" s="129">
        <f t="shared" si="88"/>
        <v>0</v>
      </c>
      <c r="R111" s="145">
        <f t="shared" si="88"/>
        <v>0</v>
      </c>
      <c r="S111" s="239"/>
      <c r="T111" s="145">
        <f>SUM(T112+T116+T118+T122)</f>
        <v>0</v>
      </c>
      <c r="U111" s="166">
        <f>SUM(U112+U116+U118+U122)</f>
        <v>0</v>
      </c>
      <c r="V111" s="166">
        <f>SUM(V112+V116+V118+V122)</f>
        <v>0</v>
      </c>
      <c r="W111" s="52">
        <f>SUM(W112+W116+W118+W122)</f>
        <v>0</v>
      </c>
      <c r="X111" s="166">
        <f>SUM(X112+X116+X118+X122)</f>
        <v>0</v>
      </c>
    </row>
    <row r="112" spans="1:24" s="6" customFormat="1">
      <c r="A112" s="229"/>
      <c r="B112" s="39"/>
      <c r="C112" s="39">
        <v>75801</v>
      </c>
      <c r="D112" s="67"/>
      <c r="E112" s="87" t="s">
        <v>143</v>
      </c>
      <c r="F112" s="95">
        <f t="shared" si="47"/>
        <v>30927119</v>
      </c>
      <c r="G112" s="99">
        <f t="shared" si="48"/>
        <v>19032072</v>
      </c>
      <c r="H112" s="104">
        <f t="shared" si="67"/>
        <v>0.6153845755888222</v>
      </c>
      <c r="I112" s="108">
        <f>SUM(I113)</f>
        <v>30927119</v>
      </c>
      <c r="J112" s="152">
        <f t="shared" ref="J112:X112" si="89">SUM(J113)</f>
        <v>19032072</v>
      </c>
      <c r="K112" s="104">
        <f t="shared" si="68"/>
        <v>0.6153845755888222</v>
      </c>
      <c r="L112" s="152">
        <f t="shared" si="89"/>
        <v>0</v>
      </c>
      <c r="M112" s="172">
        <f t="shared" si="89"/>
        <v>0</v>
      </c>
      <c r="N112" s="172">
        <f t="shared" si="89"/>
        <v>0</v>
      </c>
      <c r="O112" s="57">
        <f t="shared" si="89"/>
        <v>0</v>
      </c>
      <c r="P112" s="172">
        <f t="shared" si="89"/>
        <v>0</v>
      </c>
      <c r="Q112" s="136">
        <f t="shared" si="89"/>
        <v>0</v>
      </c>
      <c r="R112" s="152">
        <f t="shared" si="89"/>
        <v>0</v>
      </c>
      <c r="S112" s="237"/>
      <c r="T112" s="152">
        <f t="shared" si="89"/>
        <v>0</v>
      </c>
      <c r="U112" s="172">
        <f t="shared" si="89"/>
        <v>0</v>
      </c>
      <c r="V112" s="172">
        <f t="shared" si="89"/>
        <v>0</v>
      </c>
      <c r="W112" s="57">
        <f t="shared" si="89"/>
        <v>0</v>
      </c>
      <c r="X112" s="172">
        <f t="shared" si="89"/>
        <v>0</v>
      </c>
    </row>
    <row r="113" spans="1:25">
      <c r="B113" s="34"/>
      <c r="C113" s="34"/>
      <c r="D113" s="70" t="s">
        <v>46</v>
      </c>
      <c r="E113" s="82" t="s">
        <v>47</v>
      </c>
      <c r="F113" s="96">
        <f t="shared" si="47"/>
        <v>30927119</v>
      </c>
      <c r="G113" s="100">
        <f t="shared" si="48"/>
        <v>19032072</v>
      </c>
      <c r="H113" s="105">
        <f t="shared" si="67"/>
        <v>0.6153845755888222</v>
      </c>
      <c r="I113" s="109">
        <v>30927119</v>
      </c>
      <c r="J113" s="149">
        <v>19032072</v>
      </c>
      <c r="K113" s="105">
        <f t="shared" si="68"/>
        <v>0.6153845755888222</v>
      </c>
      <c r="L113" s="147"/>
      <c r="M113" s="164"/>
      <c r="N113" s="164"/>
      <c r="O113" s="50"/>
      <c r="P113" s="164"/>
      <c r="Q113" s="127"/>
      <c r="R113" s="147"/>
      <c r="S113" s="238"/>
      <c r="T113" s="147"/>
      <c r="U113" s="164"/>
      <c r="V113" s="164"/>
      <c r="W113" s="50"/>
      <c r="X113" s="164"/>
    </row>
    <row r="114" spans="1:25" hidden="1">
      <c r="B114" s="37"/>
      <c r="C114" s="37">
        <v>75802</v>
      </c>
      <c r="D114" s="73"/>
      <c r="E114" s="84" t="s">
        <v>117</v>
      </c>
      <c r="F114" s="95">
        <f t="shared" si="47"/>
        <v>0</v>
      </c>
      <c r="G114" s="99">
        <f t="shared" si="48"/>
        <v>0</v>
      </c>
      <c r="H114" s="104" t="e">
        <f t="shared" si="67"/>
        <v>#DIV/0!</v>
      </c>
      <c r="I114" s="116">
        <f>SUM(I115)</f>
        <v>0</v>
      </c>
      <c r="J114" s="150">
        <f>SUM(J115)</f>
        <v>0</v>
      </c>
      <c r="K114" s="104" t="e">
        <f t="shared" si="68"/>
        <v>#DIV/0!</v>
      </c>
      <c r="L114" s="150">
        <f t="shared" ref="L114" si="90">SUM(L112:L113)</f>
        <v>0</v>
      </c>
      <c r="M114" s="169">
        <f t="shared" ref="M114" si="91">SUM(M112:M113)</f>
        <v>0</v>
      </c>
      <c r="N114" s="169">
        <f t="shared" ref="N114" si="92">SUM(N112:N113)</f>
        <v>0</v>
      </c>
      <c r="O114" s="54">
        <f t="shared" ref="O114" si="93">SUM(O112:O113)</f>
        <v>0</v>
      </c>
      <c r="P114" s="169">
        <f t="shared" ref="P114" si="94">SUM(P112:P113)</f>
        <v>0</v>
      </c>
      <c r="Q114" s="133">
        <f t="shared" ref="Q114" si="95">SUM(Q112:Q113)</f>
        <v>0</v>
      </c>
      <c r="R114" s="150">
        <f t="shared" ref="R114" si="96">SUM(R112:R113)</f>
        <v>0</v>
      </c>
      <c r="S114" s="237"/>
      <c r="T114" s="150">
        <f t="shared" ref="T114" si="97">SUM(T112:T113)</f>
        <v>0</v>
      </c>
      <c r="U114" s="169">
        <f t="shared" ref="U114" si="98">SUM(U112:U113)</f>
        <v>0</v>
      </c>
      <c r="V114" s="169">
        <f t="shared" ref="V114" si="99">SUM(V112:V113)</f>
        <v>0</v>
      </c>
      <c r="W114" s="54">
        <f t="shared" ref="W114" si="100">SUM(W112:W113)</f>
        <v>0</v>
      </c>
      <c r="X114" s="169">
        <f t="shared" ref="X114" si="101">SUM(X112:X113)</f>
        <v>0</v>
      </c>
      <c r="Y114" s="23"/>
    </row>
    <row r="115" spans="1:25" hidden="1">
      <c r="B115" s="34"/>
      <c r="C115" s="34"/>
      <c r="D115" s="70" t="s">
        <v>115</v>
      </c>
      <c r="E115" s="88" t="s">
        <v>116</v>
      </c>
      <c r="F115" s="96">
        <f t="shared" si="47"/>
        <v>0</v>
      </c>
      <c r="G115" s="100">
        <f t="shared" si="48"/>
        <v>0</v>
      </c>
      <c r="H115" s="105" t="e">
        <f t="shared" si="67"/>
        <v>#DIV/0!</v>
      </c>
      <c r="I115" s="109"/>
      <c r="J115" s="149"/>
      <c r="K115" s="105" t="e">
        <f t="shared" si="68"/>
        <v>#DIV/0!</v>
      </c>
      <c r="L115" s="147"/>
      <c r="M115" s="164"/>
      <c r="N115" s="164"/>
      <c r="O115" s="50"/>
      <c r="P115" s="164"/>
      <c r="Q115" s="127"/>
      <c r="R115" s="147"/>
      <c r="S115" s="238"/>
      <c r="T115" s="147"/>
      <c r="U115" s="164"/>
      <c r="V115" s="164"/>
      <c r="W115" s="50"/>
      <c r="X115" s="164"/>
    </row>
    <row r="116" spans="1:25" s="6" customFormat="1">
      <c r="A116" s="229"/>
      <c r="B116" s="33"/>
      <c r="C116" s="33">
        <v>75803</v>
      </c>
      <c r="D116" s="67"/>
      <c r="E116" s="78" t="s">
        <v>144</v>
      </c>
      <c r="F116" s="95">
        <f t="shared" si="47"/>
        <v>3322333</v>
      </c>
      <c r="G116" s="99">
        <f t="shared" si="48"/>
        <v>1661166</v>
      </c>
      <c r="H116" s="104">
        <f t="shared" si="67"/>
        <v>0.49999984950334597</v>
      </c>
      <c r="I116" s="108">
        <f>SUM(I117)</f>
        <v>3322333</v>
      </c>
      <c r="J116" s="143">
        <f t="shared" ref="J116:X116" si="102">SUM(J117)</f>
        <v>1661166</v>
      </c>
      <c r="K116" s="104">
        <f t="shared" si="68"/>
        <v>0.49999984950334597</v>
      </c>
      <c r="L116" s="143">
        <f t="shared" si="102"/>
        <v>0</v>
      </c>
      <c r="M116" s="163">
        <f t="shared" si="102"/>
        <v>0</v>
      </c>
      <c r="N116" s="163">
        <f t="shared" si="102"/>
        <v>0</v>
      </c>
      <c r="O116" s="49">
        <f t="shared" si="102"/>
        <v>0</v>
      </c>
      <c r="P116" s="163">
        <f t="shared" si="102"/>
        <v>0</v>
      </c>
      <c r="Q116" s="126">
        <f t="shared" si="102"/>
        <v>0</v>
      </c>
      <c r="R116" s="143">
        <f t="shared" si="102"/>
        <v>0</v>
      </c>
      <c r="S116" s="237"/>
      <c r="T116" s="143">
        <f t="shared" si="102"/>
        <v>0</v>
      </c>
      <c r="U116" s="163">
        <f t="shared" si="102"/>
        <v>0</v>
      </c>
      <c r="V116" s="163">
        <f t="shared" si="102"/>
        <v>0</v>
      </c>
      <c r="W116" s="49">
        <f t="shared" si="102"/>
        <v>0</v>
      </c>
      <c r="X116" s="163">
        <f t="shared" si="102"/>
        <v>0</v>
      </c>
    </row>
    <row r="117" spans="1:25">
      <c r="B117" s="34"/>
      <c r="C117" s="34"/>
      <c r="D117" s="70" t="s">
        <v>46</v>
      </c>
      <c r="E117" s="82" t="s">
        <v>47</v>
      </c>
      <c r="F117" s="96">
        <f t="shared" si="47"/>
        <v>3322333</v>
      </c>
      <c r="G117" s="100">
        <f t="shared" si="48"/>
        <v>1661166</v>
      </c>
      <c r="H117" s="105">
        <f t="shared" si="67"/>
        <v>0.49999984950334597</v>
      </c>
      <c r="I117" s="109">
        <v>3322333</v>
      </c>
      <c r="J117" s="149">
        <v>1661166</v>
      </c>
      <c r="K117" s="105">
        <f t="shared" si="68"/>
        <v>0.49999984950334597</v>
      </c>
      <c r="L117" s="147"/>
      <c r="M117" s="164"/>
      <c r="N117" s="164"/>
      <c r="O117" s="50"/>
      <c r="P117" s="164"/>
      <c r="Q117" s="127"/>
      <c r="R117" s="147"/>
      <c r="S117" s="238"/>
      <c r="T117" s="147"/>
      <c r="U117" s="164"/>
      <c r="V117" s="164"/>
      <c r="W117" s="50"/>
      <c r="X117" s="164"/>
    </row>
    <row r="118" spans="1:25" s="6" customFormat="1">
      <c r="A118" s="229"/>
      <c r="B118" s="33"/>
      <c r="C118" s="33">
        <v>75814</v>
      </c>
      <c r="D118" s="67"/>
      <c r="E118" s="78" t="s">
        <v>49</v>
      </c>
      <c r="F118" s="95">
        <f t="shared" si="47"/>
        <v>324160</v>
      </c>
      <c r="G118" s="99">
        <f t="shared" si="48"/>
        <v>239366.1</v>
      </c>
      <c r="H118" s="104">
        <f t="shared" si="67"/>
        <v>0.73841960760118464</v>
      </c>
      <c r="I118" s="108">
        <f>SUM(I119:I121)</f>
        <v>324160</v>
      </c>
      <c r="J118" s="143">
        <f>SUM(J119:J121)</f>
        <v>239366.1</v>
      </c>
      <c r="K118" s="104">
        <f t="shared" si="68"/>
        <v>0.73841960760118464</v>
      </c>
      <c r="L118" s="143">
        <f t="shared" ref="L118:R118" si="103">SUM(L119:L120)</f>
        <v>0</v>
      </c>
      <c r="M118" s="163">
        <f t="shared" si="103"/>
        <v>0</v>
      </c>
      <c r="N118" s="163">
        <f t="shared" si="103"/>
        <v>0</v>
      </c>
      <c r="O118" s="49">
        <f t="shared" si="103"/>
        <v>0</v>
      </c>
      <c r="P118" s="163">
        <f t="shared" si="103"/>
        <v>0</v>
      </c>
      <c r="Q118" s="126">
        <f t="shared" si="103"/>
        <v>0</v>
      </c>
      <c r="R118" s="143">
        <f t="shared" si="103"/>
        <v>0</v>
      </c>
      <c r="S118" s="237"/>
      <c r="T118" s="143">
        <f>SUM(T119:T120)</f>
        <v>0</v>
      </c>
      <c r="U118" s="163">
        <f>SUM(U119:U120)</f>
        <v>0</v>
      </c>
      <c r="V118" s="163">
        <f>SUM(V119:V120)</f>
        <v>0</v>
      </c>
      <c r="W118" s="49">
        <f>SUM(W119:W120)</f>
        <v>0</v>
      </c>
      <c r="X118" s="163">
        <f>SUM(X119:X120)</f>
        <v>0</v>
      </c>
    </row>
    <row r="119" spans="1:25">
      <c r="B119" s="34"/>
      <c r="C119" s="34"/>
      <c r="D119" s="70" t="s">
        <v>29</v>
      </c>
      <c r="E119" s="79" t="s">
        <v>163</v>
      </c>
      <c r="F119" s="96">
        <f t="shared" si="47"/>
        <v>44299</v>
      </c>
      <c r="G119" s="100">
        <f t="shared" si="48"/>
        <v>10602.69</v>
      </c>
      <c r="H119" s="105">
        <f t="shared" si="67"/>
        <v>0.23934377751190772</v>
      </c>
      <c r="I119" s="109">
        <v>44299</v>
      </c>
      <c r="J119" s="149">
        <v>10602.69</v>
      </c>
      <c r="K119" s="105">
        <f t="shared" si="68"/>
        <v>0.23934377751190772</v>
      </c>
      <c r="L119" s="147"/>
      <c r="M119" s="164"/>
      <c r="N119" s="164"/>
      <c r="O119" s="50"/>
      <c r="P119" s="164"/>
      <c r="Q119" s="127"/>
      <c r="R119" s="147"/>
      <c r="S119" s="238"/>
      <c r="T119" s="147"/>
      <c r="U119" s="164"/>
      <c r="V119" s="164"/>
      <c r="W119" s="50"/>
      <c r="X119" s="164"/>
    </row>
    <row r="120" spans="1:25">
      <c r="B120" s="34"/>
      <c r="C120" s="34"/>
      <c r="D120" s="70" t="s">
        <v>7</v>
      </c>
      <c r="E120" s="79" t="s">
        <v>8</v>
      </c>
      <c r="F120" s="96">
        <f t="shared" si="47"/>
        <v>121861</v>
      </c>
      <c r="G120" s="100">
        <f t="shared" si="48"/>
        <v>70682.91</v>
      </c>
      <c r="H120" s="105">
        <f t="shared" si="67"/>
        <v>0.58002896743010479</v>
      </c>
      <c r="I120" s="109">
        <v>121861</v>
      </c>
      <c r="J120" s="149">
        <v>70682.91</v>
      </c>
      <c r="K120" s="105">
        <f t="shared" si="68"/>
        <v>0.58002896743010479</v>
      </c>
      <c r="L120" s="147"/>
      <c r="M120" s="164"/>
      <c r="N120" s="164"/>
      <c r="O120" s="50"/>
      <c r="P120" s="164"/>
      <c r="Q120" s="127"/>
      <c r="R120" s="147"/>
      <c r="S120" s="238"/>
      <c r="T120" s="147"/>
      <c r="U120" s="164"/>
      <c r="V120" s="164"/>
      <c r="W120" s="50"/>
      <c r="X120" s="164"/>
    </row>
    <row r="121" spans="1:25">
      <c r="B121" s="34"/>
      <c r="C121" s="34"/>
      <c r="D121" s="70" t="s">
        <v>202</v>
      </c>
      <c r="E121" s="253" t="s">
        <v>203</v>
      </c>
      <c r="F121" s="96">
        <f t="shared" si="47"/>
        <v>158000</v>
      </c>
      <c r="G121" s="100">
        <f t="shared" si="48"/>
        <v>158080.5</v>
      </c>
      <c r="H121" s="105">
        <f t="shared" si="67"/>
        <v>1.000509493670886</v>
      </c>
      <c r="I121" s="109">
        <v>158000</v>
      </c>
      <c r="J121" s="149">
        <v>158080.5</v>
      </c>
      <c r="K121" s="105">
        <f t="shared" si="68"/>
        <v>1.000509493670886</v>
      </c>
      <c r="L121" s="147"/>
      <c r="M121" s="164"/>
      <c r="N121" s="164"/>
      <c r="O121" s="50"/>
      <c r="P121" s="164"/>
      <c r="Q121" s="127"/>
      <c r="R121" s="147"/>
      <c r="S121" s="238"/>
      <c r="T121" s="147"/>
      <c r="U121" s="164"/>
      <c r="V121" s="164"/>
      <c r="W121" s="50"/>
      <c r="X121" s="164"/>
    </row>
    <row r="122" spans="1:25" s="6" customFormat="1">
      <c r="A122" s="229"/>
      <c r="B122" s="33"/>
      <c r="C122" s="33">
        <v>75832</v>
      </c>
      <c r="D122" s="67"/>
      <c r="E122" s="78" t="s">
        <v>48</v>
      </c>
      <c r="F122" s="95">
        <f t="shared" si="47"/>
        <v>318600</v>
      </c>
      <c r="G122" s="99">
        <f t="shared" si="48"/>
        <v>159300</v>
      </c>
      <c r="H122" s="104">
        <f t="shared" si="67"/>
        <v>0.5</v>
      </c>
      <c r="I122" s="108">
        <f>SUM(I123)</f>
        <v>318600</v>
      </c>
      <c r="J122" s="143">
        <f t="shared" ref="J122:X122" si="104">SUM(J123)</f>
        <v>159300</v>
      </c>
      <c r="K122" s="104">
        <f t="shared" si="68"/>
        <v>0.5</v>
      </c>
      <c r="L122" s="143">
        <f t="shared" si="104"/>
        <v>0</v>
      </c>
      <c r="M122" s="163">
        <f t="shared" si="104"/>
        <v>0</v>
      </c>
      <c r="N122" s="163">
        <f t="shared" si="104"/>
        <v>0</v>
      </c>
      <c r="O122" s="49">
        <f t="shared" si="104"/>
        <v>0</v>
      </c>
      <c r="P122" s="163">
        <f t="shared" si="104"/>
        <v>0</v>
      </c>
      <c r="Q122" s="126">
        <f t="shared" si="104"/>
        <v>0</v>
      </c>
      <c r="R122" s="143">
        <f t="shared" si="104"/>
        <v>0</v>
      </c>
      <c r="S122" s="237"/>
      <c r="T122" s="143">
        <f t="shared" si="104"/>
        <v>0</v>
      </c>
      <c r="U122" s="163">
        <f t="shared" si="104"/>
        <v>0</v>
      </c>
      <c r="V122" s="163">
        <f t="shared" si="104"/>
        <v>0</v>
      </c>
      <c r="W122" s="49">
        <f t="shared" si="104"/>
        <v>0</v>
      </c>
      <c r="X122" s="163">
        <f t="shared" si="104"/>
        <v>0</v>
      </c>
    </row>
    <row r="123" spans="1:25">
      <c r="B123" s="34"/>
      <c r="C123" s="34"/>
      <c r="D123" s="70" t="s">
        <v>46</v>
      </c>
      <c r="E123" s="82" t="s">
        <v>47</v>
      </c>
      <c r="F123" s="96">
        <f t="shared" si="47"/>
        <v>318600</v>
      </c>
      <c r="G123" s="100">
        <f t="shared" si="48"/>
        <v>159300</v>
      </c>
      <c r="H123" s="105">
        <f t="shared" si="67"/>
        <v>0.5</v>
      </c>
      <c r="I123" s="109">
        <v>318600</v>
      </c>
      <c r="J123" s="149">
        <v>159300</v>
      </c>
      <c r="K123" s="105">
        <f t="shared" si="68"/>
        <v>0.5</v>
      </c>
      <c r="L123" s="147"/>
      <c r="M123" s="164"/>
      <c r="N123" s="164"/>
      <c r="O123" s="50"/>
      <c r="P123" s="164"/>
      <c r="Q123" s="127"/>
      <c r="R123" s="147"/>
      <c r="S123" s="238"/>
      <c r="T123" s="147"/>
      <c r="U123" s="164"/>
      <c r="V123" s="164"/>
      <c r="W123" s="50"/>
      <c r="X123" s="164"/>
    </row>
    <row r="124" spans="1:25" s="5" customFormat="1">
      <c r="A124" s="9"/>
      <c r="B124" s="36">
        <v>801</v>
      </c>
      <c r="C124" s="36"/>
      <c r="D124" s="71"/>
      <c r="E124" s="81" t="s">
        <v>50</v>
      </c>
      <c r="F124" s="97">
        <f>SUM(I124+Q124)</f>
        <v>9669628</v>
      </c>
      <c r="G124" s="101">
        <f>SUM(J124+R124)</f>
        <v>4778145.9899999993</v>
      </c>
      <c r="H124" s="106">
        <f t="shared" si="67"/>
        <v>0.49413958737606029</v>
      </c>
      <c r="I124" s="97">
        <f>SUM(I125+I133+I146+I141+I143+I155+I169+I172+I178+I137+I139+I174+I176)</f>
        <v>5065260</v>
      </c>
      <c r="J124" s="101">
        <f>SUM(J125+J133+J146+J141+J143+J155+J169+J172+J178+J137+J139+J174+J176)</f>
        <v>3928544.7699999996</v>
      </c>
      <c r="K124" s="106">
        <f t="shared" si="68"/>
        <v>0.77558600545677803</v>
      </c>
      <c r="L124" s="101">
        <f t="shared" ref="L124:R124" si="105">SUM(L125+L133+L146+L155+L169+L172+L178+L137+L139)</f>
        <v>3295771.84</v>
      </c>
      <c r="M124" s="101">
        <f t="shared" si="105"/>
        <v>0</v>
      </c>
      <c r="N124" s="165">
        <f t="shared" si="105"/>
        <v>0</v>
      </c>
      <c r="O124" s="101">
        <f t="shared" si="105"/>
        <v>156000</v>
      </c>
      <c r="P124" s="165">
        <f t="shared" si="105"/>
        <v>0</v>
      </c>
      <c r="Q124" s="128">
        <f>SUM(Q125+Q133+Q146+Q155+Q169+Q172+Q178+Q137+Q139)</f>
        <v>4604368</v>
      </c>
      <c r="R124" s="101">
        <f t="shared" si="105"/>
        <v>849601.22</v>
      </c>
      <c r="S124" s="239">
        <f t="shared" si="69"/>
        <v>0.18452070294989453</v>
      </c>
      <c r="T124" s="101">
        <f>SUM(T125+T133+T146+T155+T169+T172+T178)</f>
        <v>849601.22</v>
      </c>
      <c r="U124" s="165">
        <f>SUM(U125+U133+U146+U155+U169+U172+U178)</f>
        <v>0</v>
      </c>
      <c r="V124" s="165">
        <f>SUM(V125+V133+V146+V155+V169+V172+V178)</f>
        <v>0</v>
      </c>
      <c r="W124" s="51">
        <f>SUM(W125+W133+W146+W155+W169+W172+W178)</f>
        <v>0</v>
      </c>
      <c r="X124" s="165">
        <f>SUM(X125+X133+X146+X155+X169+X172+X178)</f>
        <v>0</v>
      </c>
    </row>
    <row r="125" spans="1:25" s="6" customFormat="1">
      <c r="A125" s="229"/>
      <c r="B125" s="33"/>
      <c r="C125" s="33">
        <v>80102</v>
      </c>
      <c r="D125" s="67"/>
      <c r="E125" s="85" t="s">
        <v>51</v>
      </c>
      <c r="F125" s="95">
        <f t="shared" si="47"/>
        <v>162100</v>
      </c>
      <c r="G125" s="99">
        <f t="shared" si="48"/>
        <v>119263.97</v>
      </c>
      <c r="H125" s="104">
        <f t="shared" si="67"/>
        <v>0.73574318322023446</v>
      </c>
      <c r="I125" s="108">
        <f>SUM(I126:I132)</f>
        <v>162100</v>
      </c>
      <c r="J125" s="143">
        <f>SUM(J126:J132)</f>
        <v>119263.97</v>
      </c>
      <c r="K125" s="104">
        <f t="shared" si="68"/>
        <v>0.73574318322023446</v>
      </c>
      <c r="L125" s="143">
        <f t="shared" ref="L125:R125" si="106">SUM(L126:L131)</f>
        <v>0</v>
      </c>
      <c r="M125" s="163">
        <f t="shared" si="106"/>
        <v>0</v>
      </c>
      <c r="N125" s="163">
        <f t="shared" si="106"/>
        <v>0</v>
      </c>
      <c r="O125" s="49">
        <f t="shared" si="106"/>
        <v>0</v>
      </c>
      <c r="P125" s="163">
        <f t="shared" si="106"/>
        <v>0</v>
      </c>
      <c r="Q125" s="126">
        <f t="shared" si="106"/>
        <v>0</v>
      </c>
      <c r="R125" s="143">
        <f t="shared" si="106"/>
        <v>0</v>
      </c>
      <c r="S125" s="237"/>
      <c r="T125" s="143">
        <f>SUM(T126:T131)</f>
        <v>0</v>
      </c>
      <c r="U125" s="163">
        <f>SUM(U126:U131)</f>
        <v>0</v>
      </c>
      <c r="V125" s="163">
        <f>SUM(V126:V131)</f>
        <v>0</v>
      </c>
      <c r="W125" s="49">
        <f>SUM(W126:W131)</f>
        <v>0</v>
      </c>
      <c r="X125" s="163">
        <f>SUM(X126:X131)</f>
        <v>0</v>
      </c>
    </row>
    <row r="126" spans="1:25">
      <c r="B126" s="34"/>
      <c r="C126" s="34"/>
      <c r="D126" s="72" t="s">
        <v>187</v>
      </c>
      <c r="E126" s="82" t="s">
        <v>188</v>
      </c>
      <c r="F126" s="96">
        <f t="shared" si="47"/>
        <v>52</v>
      </c>
      <c r="G126" s="100">
        <f t="shared" si="48"/>
        <v>26</v>
      </c>
      <c r="H126" s="105">
        <f t="shared" si="67"/>
        <v>0.5</v>
      </c>
      <c r="I126" s="109">
        <v>52</v>
      </c>
      <c r="J126" s="149">
        <v>26</v>
      </c>
      <c r="K126" s="105">
        <f>SUM(J126/I126)</f>
        <v>0.5</v>
      </c>
      <c r="L126" s="147"/>
      <c r="M126" s="164"/>
      <c r="N126" s="164"/>
      <c r="O126" s="50"/>
      <c r="P126" s="164"/>
      <c r="Q126" s="127"/>
      <c r="R126" s="147"/>
      <c r="S126" s="238"/>
      <c r="T126" s="147"/>
      <c r="U126" s="164"/>
      <c r="V126" s="164"/>
      <c r="W126" s="50"/>
      <c r="X126" s="164"/>
    </row>
    <row r="127" spans="1:25">
      <c r="B127" s="34"/>
      <c r="C127" s="34"/>
      <c r="D127" s="72" t="s">
        <v>12</v>
      </c>
      <c r="E127" s="82" t="s">
        <v>13</v>
      </c>
      <c r="F127" s="96">
        <f t="shared" si="47"/>
        <v>48</v>
      </c>
      <c r="G127" s="100">
        <f t="shared" si="48"/>
        <v>0</v>
      </c>
      <c r="H127" s="105">
        <f t="shared" si="67"/>
        <v>0</v>
      </c>
      <c r="I127" s="109">
        <v>48</v>
      </c>
      <c r="J127" s="149">
        <v>0</v>
      </c>
      <c r="K127" s="105">
        <f t="shared" ref="K127:K128" si="107">SUM(J127/I127)</f>
        <v>0</v>
      </c>
      <c r="L127" s="147"/>
      <c r="M127" s="164"/>
      <c r="N127" s="164"/>
      <c r="O127" s="50"/>
      <c r="P127" s="164"/>
      <c r="Q127" s="127"/>
      <c r="R127" s="147"/>
      <c r="S127" s="238"/>
      <c r="T127" s="147"/>
      <c r="U127" s="164"/>
      <c r="V127" s="164"/>
      <c r="W127" s="50"/>
      <c r="X127" s="164"/>
    </row>
    <row r="128" spans="1:25">
      <c r="B128" s="34"/>
      <c r="C128" s="34"/>
      <c r="D128" s="72" t="s">
        <v>32</v>
      </c>
      <c r="E128" s="82" t="s">
        <v>172</v>
      </c>
      <c r="F128" s="96">
        <f t="shared" si="47"/>
        <v>5000</v>
      </c>
      <c r="G128" s="100">
        <f t="shared" si="48"/>
        <v>3127.64</v>
      </c>
      <c r="H128" s="105">
        <f t="shared" si="67"/>
        <v>0.62552799999999997</v>
      </c>
      <c r="I128" s="109">
        <v>5000</v>
      </c>
      <c r="J128" s="149">
        <v>3127.64</v>
      </c>
      <c r="K128" s="105">
        <f t="shared" si="107"/>
        <v>0.62552799999999997</v>
      </c>
      <c r="L128" s="147"/>
      <c r="M128" s="164"/>
      <c r="N128" s="164"/>
      <c r="O128" s="50"/>
      <c r="P128" s="164"/>
      <c r="Q128" s="127"/>
      <c r="R128" s="147"/>
      <c r="S128" s="238"/>
      <c r="T128" s="147"/>
      <c r="U128" s="164"/>
      <c r="V128" s="164"/>
      <c r="W128" s="50"/>
      <c r="X128" s="164"/>
    </row>
    <row r="129" spans="1:24">
      <c r="B129" s="34"/>
      <c r="C129" s="34"/>
      <c r="D129" s="70" t="s">
        <v>52</v>
      </c>
      <c r="E129" s="82" t="s">
        <v>53</v>
      </c>
      <c r="F129" s="96">
        <f t="shared" si="47"/>
        <v>140000</v>
      </c>
      <c r="G129" s="100">
        <f t="shared" si="48"/>
        <v>96951</v>
      </c>
      <c r="H129" s="105">
        <f t="shared" si="67"/>
        <v>0.69250714285714288</v>
      </c>
      <c r="I129" s="109">
        <v>140000</v>
      </c>
      <c r="J129" s="149">
        <v>96951</v>
      </c>
      <c r="K129" s="105">
        <f t="shared" si="68"/>
        <v>0.69250714285714288</v>
      </c>
      <c r="L129" s="147"/>
      <c r="M129" s="164"/>
      <c r="N129" s="164"/>
      <c r="O129" s="50"/>
      <c r="P129" s="164"/>
      <c r="Q129" s="127"/>
      <c r="R129" s="147"/>
      <c r="S129" s="238"/>
      <c r="T129" s="147"/>
      <c r="U129" s="164"/>
      <c r="V129" s="164"/>
      <c r="W129" s="50"/>
      <c r="X129" s="164"/>
    </row>
    <row r="130" spans="1:24">
      <c r="B130" s="34"/>
      <c r="C130" s="34"/>
      <c r="D130" s="70" t="s">
        <v>29</v>
      </c>
      <c r="E130" s="82" t="s">
        <v>163</v>
      </c>
      <c r="F130" s="96">
        <f t="shared" si="47"/>
        <v>1500</v>
      </c>
      <c r="G130" s="100">
        <f t="shared" si="48"/>
        <v>1081.22</v>
      </c>
      <c r="H130" s="105">
        <f t="shared" si="67"/>
        <v>0.72081333333333331</v>
      </c>
      <c r="I130" s="109">
        <v>1500</v>
      </c>
      <c r="J130" s="149">
        <v>1081.22</v>
      </c>
      <c r="K130" s="105">
        <f t="shared" si="68"/>
        <v>0.72081333333333331</v>
      </c>
      <c r="L130" s="147"/>
      <c r="M130" s="164"/>
      <c r="N130" s="164"/>
      <c r="O130" s="50"/>
      <c r="P130" s="164"/>
      <c r="Q130" s="127"/>
      <c r="R130" s="147"/>
      <c r="S130" s="238"/>
      <c r="T130" s="147"/>
      <c r="U130" s="164"/>
      <c r="V130" s="164"/>
      <c r="W130" s="50"/>
      <c r="X130" s="164"/>
    </row>
    <row r="131" spans="1:24" ht="12" customHeight="1">
      <c r="B131" s="34"/>
      <c r="C131" s="34"/>
      <c r="D131" s="70" t="s">
        <v>7</v>
      </c>
      <c r="E131" s="79" t="s">
        <v>8</v>
      </c>
      <c r="F131" s="96">
        <f t="shared" si="47"/>
        <v>1500</v>
      </c>
      <c r="G131" s="100">
        <f t="shared" si="48"/>
        <v>4078.11</v>
      </c>
      <c r="H131" s="105">
        <f t="shared" si="67"/>
        <v>2.7187399999999999</v>
      </c>
      <c r="I131" s="109">
        <v>1500</v>
      </c>
      <c r="J131" s="149">
        <v>4078.11</v>
      </c>
      <c r="K131" s="105">
        <f t="shared" si="68"/>
        <v>2.7187399999999999</v>
      </c>
      <c r="L131" s="147"/>
      <c r="M131" s="164"/>
      <c r="N131" s="164"/>
      <c r="O131" s="50"/>
      <c r="P131" s="164"/>
      <c r="Q131" s="127"/>
      <c r="R131" s="147"/>
      <c r="S131" s="238"/>
      <c r="T131" s="147"/>
      <c r="U131" s="164"/>
      <c r="V131" s="164"/>
      <c r="W131" s="50"/>
      <c r="X131" s="164"/>
    </row>
    <row r="132" spans="1:24" ht="12" customHeight="1">
      <c r="B132" s="34"/>
      <c r="C132" s="34"/>
      <c r="D132" s="70" t="s">
        <v>54</v>
      </c>
      <c r="E132" s="79" t="s">
        <v>135</v>
      </c>
      <c r="F132" s="96">
        <f t="shared" si="47"/>
        <v>14000</v>
      </c>
      <c r="G132" s="100">
        <f t="shared" si="48"/>
        <v>14000</v>
      </c>
      <c r="H132" s="105">
        <f t="shared" ref="H132" si="108">SUM(G132/F132)</f>
        <v>1</v>
      </c>
      <c r="I132" s="109">
        <v>14000</v>
      </c>
      <c r="J132" s="149">
        <v>14000</v>
      </c>
      <c r="K132" s="105">
        <f t="shared" ref="K132" si="109">SUM(J132/I132)</f>
        <v>1</v>
      </c>
      <c r="L132" s="147"/>
      <c r="M132" s="164"/>
      <c r="N132" s="164"/>
      <c r="O132" s="50"/>
      <c r="P132" s="164"/>
      <c r="Q132" s="127"/>
      <c r="R132" s="147"/>
      <c r="S132" s="238"/>
      <c r="T132" s="147"/>
      <c r="U132" s="164"/>
      <c r="V132" s="164"/>
      <c r="W132" s="50"/>
      <c r="X132" s="164"/>
    </row>
    <row r="133" spans="1:24">
      <c r="B133" s="37"/>
      <c r="C133" s="37">
        <v>80105</v>
      </c>
      <c r="D133" s="73"/>
      <c r="E133" s="83" t="s">
        <v>145</v>
      </c>
      <c r="F133" s="95">
        <f t="shared" ref="F133:F200" si="110">SUM(I133+Q133)</f>
        <v>240545</v>
      </c>
      <c r="G133" s="99">
        <f t="shared" ref="G133:G200" si="111">SUM(J133+R133)</f>
        <v>266085.66000000003</v>
      </c>
      <c r="H133" s="104">
        <f t="shared" si="67"/>
        <v>1.1061783034359476</v>
      </c>
      <c r="I133" s="95">
        <f>SUM(I134:I136)</f>
        <v>240545</v>
      </c>
      <c r="J133" s="99">
        <f>SUM(J134:J136)</f>
        <v>266085.66000000003</v>
      </c>
      <c r="K133" s="104">
        <f t="shared" si="68"/>
        <v>1.1061783034359476</v>
      </c>
      <c r="L133" s="99">
        <f>SUM(L134:L136)</f>
        <v>261975.66</v>
      </c>
      <c r="M133" s="171">
        <f t="shared" ref="M133:X133" si="112">SUM(M134)</f>
        <v>0</v>
      </c>
      <c r="N133" s="171">
        <f t="shared" si="112"/>
        <v>0</v>
      </c>
      <c r="O133" s="56">
        <f t="shared" si="112"/>
        <v>0</v>
      </c>
      <c r="P133" s="171">
        <f t="shared" si="112"/>
        <v>0</v>
      </c>
      <c r="Q133" s="135">
        <f t="shared" si="112"/>
        <v>0</v>
      </c>
      <c r="R133" s="99">
        <f t="shared" si="112"/>
        <v>0</v>
      </c>
      <c r="S133" s="237"/>
      <c r="T133" s="99">
        <f t="shared" si="112"/>
        <v>0</v>
      </c>
      <c r="U133" s="171">
        <f t="shared" si="112"/>
        <v>0</v>
      </c>
      <c r="V133" s="171">
        <f t="shared" si="112"/>
        <v>0</v>
      </c>
      <c r="W133" s="56">
        <f t="shared" si="112"/>
        <v>0</v>
      </c>
      <c r="X133" s="171">
        <f t="shared" si="112"/>
        <v>0</v>
      </c>
    </row>
    <row r="134" spans="1:24" hidden="1">
      <c r="B134" s="34"/>
      <c r="C134" s="34"/>
      <c r="D134" s="70" t="s">
        <v>104</v>
      </c>
      <c r="E134" s="79" t="s">
        <v>106</v>
      </c>
      <c r="F134" s="96">
        <f t="shared" si="110"/>
        <v>0</v>
      </c>
      <c r="G134" s="100">
        <f t="shared" ref="G134:G140" si="113">SUM(J134+R134)</f>
        <v>0</v>
      </c>
      <c r="H134" s="105" t="e">
        <f t="shared" ref="H134:H140" si="114">SUM(G134/F134)</f>
        <v>#DIV/0!</v>
      </c>
      <c r="I134" s="112"/>
      <c r="J134" s="149"/>
      <c r="K134" s="105" t="e">
        <f t="shared" si="68"/>
        <v>#DIV/0!</v>
      </c>
      <c r="L134" s="147"/>
      <c r="M134" s="164"/>
      <c r="N134" s="164"/>
      <c r="O134" s="50"/>
      <c r="P134" s="164"/>
      <c r="Q134" s="127"/>
      <c r="R134" s="147"/>
      <c r="S134" s="238"/>
      <c r="T134" s="147"/>
      <c r="U134" s="164"/>
      <c r="V134" s="164"/>
      <c r="W134" s="50"/>
      <c r="X134" s="164"/>
    </row>
    <row r="135" spans="1:24">
      <c r="B135" s="34"/>
      <c r="C135" s="34"/>
      <c r="D135" s="70" t="s">
        <v>156</v>
      </c>
      <c r="E135" s="79" t="s">
        <v>106</v>
      </c>
      <c r="F135" s="96">
        <f t="shared" ref="F135:F136" si="115">SUM(I135+Q135)</f>
        <v>232325</v>
      </c>
      <c r="G135" s="100">
        <f t="shared" si="113"/>
        <v>261975.66</v>
      </c>
      <c r="H135" s="105">
        <f t="shared" si="114"/>
        <v>1.1276257828473044</v>
      </c>
      <c r="I135" s="109">
        <v>232325</v>
      </c>
      <c r="J135" s="149">
        <v>261975.66</v>
      </c>
      <c r="K135" s="105">
        <f t="shared" ref="K135:K136" si="116">SUM(J135/I135)</f>
        <v>1.1276257828473044</v>
      </c>
      <c r="L135" s="147">
        <v>261975.66</v>
      </c>
      <c r="M135" s="147"/>
      <c r="N135" s="164"/>
      <c r="O135" s="251"/>
      <c r="P135" s="164"/>
      <c r="Q135" s="250"/>
      <c r="R135" s="147"/>
      <c r="S135" s="238"/>
      <c r="T135" s="147"/>
      <c r="U135" s="164"/>
      <c r="V135" s="164"/>
      <c r="W135" s="50"/>
      <c r="X135" s="164"/>
    </row>
    <row r="136" spans="1:24">
      <c r="B136" s="34"/>
      <c r="C136" s="34"/>
      <c r="D136" s="70" t="s">
        <v>54</v>
      </c>
      <c r="E136" s="79" t="s">
        <v>135</v>
      </c>
      <c r="F136" s="96">
        <f t="shared" si="115"/>
        <v>8220</v>
      </c>
      <c r="G136" s="100">
        <f t="shared" si="113"/>
        <v>4110</v>
      </c>
      <c r="H136" s="105">
        <f t="shared" si="114"/>
        <v>0.5</v>
      </c>
      <c r="I136" s="109">
        <v>8220</v>
      </c>
      <c r="J136" s="149">
        <v>4110</v>
      </c>
      <c r="K136" s="105">
        <f t="shared" si="116"/>
        <v>0.5</v>
      </c>
      <c r="L136" s="147"/>
      <c r="M136" s="147"/>
      <c r="N136" s="164"/>
      <c r="O136" s="251"/>
      <c r="P136" s="164"/>
      <c r="Q136" s="250"/>
      <c r="R136" s="147"/>
      <c r="S136" s="238"/>
      <c r="T136" s="147"/>
      <c r="U136" s="164"/>
      <c r="V136" s="164"/>
      <c r="W136" s="50"/>
      <c r="X136" s="164"/>
    </row>
    <row r="137" spans="1:24" hidden="1">
      <c r="B137" s="45"/>
      <c r="C137" s="45">
        <v>80110</v>
      </c>
      <c r="D137" s="73"/>
      <c r="E137" s="197" t="s">
        <v>153</v>
      </c>
      <c r="F137" s="95">
        <f t="shared" ref="F137:F143" si="117">SUM(I137+Q137)</f>
        <v>0</v>
      </c>
      <c r="G137" s="99">
        <f t="shared" si="113"/>
        <v>0</v>
      </c>
      <c r="H137" s="104" t="e">
        <f t="shared" si="114"/>
        <v>#DIV/0!</v>
      </c>
      <c r="I137" s="198">
        <f>SUM(I138)</f>
        <v>0</v>
      </c>
      <c r="J137" s="150">
        <f>SUM(J138)</f>
        <v>0</v>
      </c>
      <c r="K137" s="104" t="e">
        <f t="shared" ref="K137:K143" si="118">SUM(J137/I137)</f>
        <v>#DIV/0!</v>
      </c>
      <c r="L137" s="161">
        <f>SUM(L138)</f>
        <v>0</v>
      </c>
      <c r="M137" s="161">
        <f t="shared" ref="M137:R137" si="119">SUM(M138)</f>
        <v>0</v>
      </c>
      <c r="N137" s="179">
        <f t="shared" si="119"/>
        <v>0</v>
      </c>
      <c r="O137" s="161">
        <f t="shared" si="119"/>
        <v>0</v>
      </c>
      <c r="P137" s="179">
        <f t="shared" si="119"/>
        <v>0</v>
      </c>
      <c r="Q137" s="202">
        <f t="shared" si="119"/>
        <v>0</v>
      </c>
      <c r="R137" s="161">
        <f t="shared" si="119"/>
        <v>0</v>
      </c>
      <c r="S137" s="237"/>
      <c r="T137" s="161"/>
      <c r="U137" s="179"/>
      <c r="V137" s="179"/>
      <c r="W137" s="61"/>
      <c r="X137" s="179"/>
    </row>
    <row r="138" spans="1:24" hidden="1">
      <c r="B138" s="34"/>
      <c r="C138" s="34"/>
      <c r="D138" s="70" t="s">
        <v>27</v>
      </c>
      <c r="E138" s="79" t="s">
        <v>146</v>
      </c>
      <c r="F138" s="96">
        <f t="shared" si="117"/>
        <v>0</v>
      </c>
      <c r="G138" s="100">
        <f t="shared" si="113"/>
        <v>0</v>
      </c>
      <c r="H138" s="105" t="e">
        <f t="shared" si="114"/>
        <v>#DIV/0!</v>
      </c>
      <c r="I138" s="112"/>
      <c r="J138" s="149"/>
      <c r="K138" s="105" t="e">
        <f t="shared" si="118"/>
        <v>#DIV/0!</v>
      </c>
      <c r="L138" s="147"/>
      <c r="M138" s="164"/>
      <c r="N138" s="164"/>
      <c r="O138" s="50"/>
      <c r="P138" s="164"/>
      <c r="Q138" s="127"/>
      <c r="R138" s="147"/>
      <c r="S138" s="238"/>
      <c r="T138" s="147"/>
      <c r="U138" s="164"/>
      <c r="V138" s="164"/>
      <c r="W138" s="50"/>
      <c r="X138" s="164"/>
    </row>
    <row r="139" spans="1:24" hidden="1">
      <c r="B139" s="45"/>
      <c r="C139" s="45">
        <v>80111</v>
      </c>
      <c r="D139" s="73"/>
      <c r="E139" s="197" t="s">
        <v>154</v>
      </c>
      <c r="F139" s="95">
        <f t="shared" si="117"/>
        <v>0</v>
      </c>
      <c r="G139" s="99">
        <f t="shared" si="113"/>
        <v>0</v>
      </c>
      <c r="H139" s="104" t="e">
        <f t="shared" si="114"/>
        <v>#DIV/0!</v>
      </c>
      <c r="I139" s="198">
        <f>SUM(I140)</f>
        <v>0</v>
      </c>
      <c r="J139" s="150">
        <f>SUM(J140)</f>
        <v>0</v>
      </c>
      <c r="K139" s="104" t="e">
        <f t="shared" si="118"/>
        <v>#DIV/0!</v>
      </c>
      <c r="L139" s="161">
        <f>SUM(L140)</f>
        <v>0</v>
      </c>
      <c r="M139" s="161">
        <f t="shared" ref="M139:R143" si="120">SUM(M140)</f>
        <v>0</v>
      </c>
      <c r="N139" s="179">
        <f t="shared" si="120"/>
        <v>0</v>
      </c>
      <c r="O139" s="161">
        <f t="shared" si="120"/>
        <v>0</v>
      </c>
      <c r="P139" s="179">
        <f t="shared" si="120"/>
        <v>0</v>
      </c>
      <c r="Q139" s="202">
        <f t="shared" si="120"/>
        <v>0</v>
      </c>
      <c r="R139" s="161">
        <f t="shared" si="120"/>
        <v>0</v>
      </c>
      <c r="S139" s="237"/>
      <c r="T139" s="161"/>
      <c r="U139" s="179"/>
      <c r="V139" s="179"/>
      <c r="W139" s="61"/>
      <c r="X139" s="179"/>
    </row>
    <row r="140" spans="1:24" hidden="1">
      <c r="B140" s="34"/>
      <c r="C140" s="34"/>
      <c r="D140" s="70" t="s">
        <v>27</v>
      </c>
      <c r="E140" s="79" t="s">
        <v>146</v>
      </c>
      <c r="F140" s="96">
        <f t="shared" si="117"/>
        <v>0</v>
      </c>
      <c r="G140" s="100">
        <f t="shared" si="113"/>
        <v>0</v>
      </c>
      <c r="H140" s="105" t="e">
        <f t="shared" si="114"/>
        <v>#DIV/0!</v>
      </c>
      <c r="I140" s="112"/>
      <c r="J140" s="149"/>
      <c r="K140" s="105" t="e">
        <f t="shared" si="118"/>
        <v>#DIV/0!</v>
      </c>
      <c r="L140" s="147"/>
      <c r="M140" s="164"/>
      <c r="N140" s="164"/>
      <c r="O140" s="50"/>
      <c r="P140" s="164"/>
      <c r="Q140" s="127"/>
      <c r="R140" s="147"/>
      <c r="S140" s="238"/>
      <c r="T140" s="147"/>
      <c r="U140" s="164"/>
      <c r="V140" s="164"/>
      <c r="W140" s="50"/>
      <c r="X140" s="164"/>
    </row>
    <row r="141" spans="1:24">
      <c r="A141"/>
      <c r="B141" s="45"/>
      <c r="C141" s="45">
        <v>80115</v>
      </c>
      <c r="D141" s="73"/>
      <c r="E141" s="197" t="s">
        <v>153</v>
      </c>
      <c r="F141" s="95">
        <f t="shared" si="117"/>
        <v>6000</v>
      </c>
      <c r="G141" s="99">
        <f t="shared" ref="G141:G142" si="121">SUM(J141+R141)</f>
        <v>6000</v>
      </c>
      <c r="H141" s="104">
        <f t="shared" ref="H141:H142" si="122">SUM(G141/F141)</f>
        <v>1</v>
      </c>
      <c r="I141" s="198">
        <f>SUM(I142)</f>
        <v>6000</v>
      </c>
      <c r="J141" s="150">
        <f>SUM(J142)</f>
        <v>6000</v>
      </c>
      <c r="K141" s="104">
        <f t="shared" si="118"/>
        <v>1</v>
      </c>
      <c r="L141" s="161">
        <f>SUM(L142)</f>
        <v>0</v>
      </c>
      <c r="M141" s="161">
        <f t="shared" si="120"/>
        <v>0</v>
      </c>
      <c r="N141" s="179">
        <f t="shared" si="120"/>
        <v>0</v>
      </c>
      <c r="O141" s="161">
        <f t="shared" si="120"/>
        <v>0</v>
      </c>
      <c r="P141" s="179">
        <f t="shared" si="120"/>
        <v>0</v>
      </c>
      <c r="Q141" s="202">
        <f t="shared" si="120"/>
        <v>0</v>
      </c>
      <c r="R141" s="161">
        <f t="shared" si="120"/>
        <v>0</v>
      </c>
      <c r="S141" s="237"/>
      <c r="T141" s="161"/>
      <c r="U141" s="179"/>
      <c r="V141" s="179"/>
      <c r="W141" s="61"/>
      <c r="X141" s="179"/>
    </row>
    <row r="142" spans="1:24">
      <c r="A142"/>
      <c r="B142" s="34"/>
      <c r="C142" s="34"/>
      <c r="D142" s="70" t="s">
        <v>54</v>
      </c>
      <c r="E142" s="79" t="s">
        <v>135</v>
      </c>
      <c r="F142" s="96">
        <f t="shared" si="117"/>
        <v>6000</v>
      </c>
      <c r="G142" s="100">
        <f t="shared" si="121"/>
        <v>6000</v>
      </c>
      <c r="H142" s="105">
        <f t="shared" si="122"/>
        <v>1</v>
      </c>
      <c r="I142" s="112">
        <v>6000</v>
      </c>
      <c r="J142" s="149">
        <v>6000</v>
      </c>
      <c r="K142" s="105">
        <f t="shared" si="118"/>
        <v>1</v>
      </c>
      <c r="L142" s="147"/>
      <c r="M142" s="164"/>
      <c r="N142" s="164"/>
      <c r="O142" s="50"/>
      <c r="P142" s="164"/>
      <c r="Q142" s="127"/>
      <c r="R142" s="147"/>
      <c r="S142" s="238"/>
      <c r="T142" s="147"/>
      <c r="U142" s="164"/>
      <c r="V142" s="164"/>
      <c r="W142" s="50"/>
      <c r="X142" s="164"/>
    </row>
    <row r="143" spans="1:24">
      <c r="A143"/>
      <c r="B143" s="45"/>
      <c r="C143" s="45">
        <v>80116</v>
      </c>
      <c r="D143" s="73"/>
      <c r="E143" s="197" t="s">
        <v>204</v>
      </c>
      <c r="F143" s="95">
        <f t="shared" si="117"/>
        <v>0</v>
      </c>
      <c r="G143" s="99">
        <f t="shared" ref="G143:G145" si="123">SUM(J143+R143)</f>
        <v>17.97</v>
      </c>
      <c r="H143" s="104"/>
      <c r="I143" s="198">
        <f>SUM(I144)</f>
        <v>0</v>
      </c>
      <c r="J143" s="150">
        <f>SUM(J144:J145)</f>
        <v>17.97</v>
      </c>
      <c r="K143" s="104"/>
      <c r="L143" s="161">
        <f>SUM(L144)</f>
        <v>0</v>
      </c>
      <c r="M143" s="161">
        <f t="shared" si="120"/>
        <v>0</v>
      </c>
      <c r="N143" s="179">
        <f t="shared" si="120"/>
        <v>0</v>
      </c>
      <c r="O143" s="161">
        <f t="shared" si="120"/>
        <v>0</v>
      </c>
      <c r="P143" s="179">
        <f t="shared" si="120"/>
        <v>0</v>
      </c>
      <c r="Q143" s="202">
        <f t="shared" si="120"/>
        <v>0</v>
      </c>
      <c r="R143" s="161">
        <f t="shared" si="120"/>
        <v>0</v>
      </c>
      <c r="S143" s="237"/>
      <c r="T143" s="161"/>
      <c r="U143" s="179"/>
      <c r="V143" s="179"/>
      <c r="W143" s="61"/>
      <c r="X143" s="179"/>
    </row>
    <row r="144" spans="1:24">
      <c r="B144" s="34"/>
      <c r="C144" s="34"/>
      <c r="D144" s="70" t="s">
        <v>29</v>
      </c>
      <c r="E144" s="82" t="s">
        <v>163</v>
      </c>
      <c r="F144" s="96">
        <f t="shared" ref="F144:F145" si="124">SUM(I144+Q144)</f>
        <v>0</v>
      </c>
      <c r="G144" s="100">
        <f t="shared" si="123"/>
        <v>9.9700000000000006</v>
      </c>
      <c r="H144" s="105"/>
      <c r="I144" s="109">
        <v>0</v>
      </c>
      <c r="J144" s="149">
        <v>9.9700000000000006</v>
      </c>
      <c r="K144" s="105"/>
      <c r="L144" s="147"/>
      <c r="M144" s="164"/>
      <c r="N144" s="164"/>
      <c r="O144" s="50"/>
      <c r="P144" s="164"/>
      <c r="Q144" s="127"/>
      <c r="R144" s="147"/>
      <c r="S144" s="238"/>
      <c r="T144" s="147"/>
      <c r="U144" s="164"/>
      <c r="V144" s="164"/>
      <c r="W144" s="50"/>
      <c r="X144" s="164"/>
    </row>
    <row r="145" spans="1:24">
      <c r="B145" s="34"/>
      <c r="C145" s="34"/>
      <c r="D145" s="70" t="s">
        <v>7</v>
      </c>
      <c r="E145" s="79" t="s">
        <v>8</v>
      </c>
      <c r="F145" s="96">
        <f t="shared" si="124"/>
        <v>0</v>
      </c>
      <c r="G145" s="100">
        <f t="shared" si="123"/>
        <v>8</v>
      </c>
      <c r="H145" s="105"/>
      <c r="I145" s="109">
        <v>0</v>
      </c>
      <c r="J145" s="149">
        <v>8</v>
      </c>
      <c r="K145" s="105"/>
      <c r="L145" s="147"/>
      <c r="M145" s="164"/>
      <c r="N145" s="164"/>
      <c r="O145" s="50"/>
      <c r="P145" s="164"/>
      <c r="Q145" s="127"/>
      <c r="R145" s="147"/>
      <c r="S145" s="238"/>
      <c r="T145" s="147"/>
      <c r="U145" s="164"/>
      <c r="V145" s="164"/>
      <c r="W145" s="50"/>
      <c r="X145" s="164"/>
    </row>
    <row r="146" spans="1:24" s="6" customFormat="1">
      <c r="A146" s="229"/>
      <c r="B146" s="33"/>
      <c r="C146" s="33">
        <v>80120</v>
      </c>
      <c r="D146" s="67"/>
      <c r="E146" s="85" t="s">
        <v>56</v>
      </c>
      <c r="F146" s="95">
        <f t="shared" si="110"/>
        <v>119853</v>
      </c>
      <c r="G146" s="99">
        <f t="shared" si="111"/>
        <v>104034.13</v>
      </c>
      <c r="H146" s="104">
        <f t="shared" si="67"/>
        <v>0.8680144009745272</v>
      </c>
      <c r="I146" s="111">
        <f>SUM(I147:I154)</f>
        <v>119853</v>
      </c>
      <c r="J146" s="146">
        <f>SUM(J147:J154)</f>
        <v>104034.13</v>
      </c>
      <c r="K146" s="104">
        <f t="shared" si="68"/>
        <v>0.8680144009745272</v>
      </c>
      <c r="L146" s="146">
        <f t="shared" ref="L146:R146" si="125">SUM(L147:L154)</f>
        <v>0</v>
      </c>
      <c r="M146" s="168">
        <f t="shared" si="125"/>
        <v>0</v>
      </c>
      <c r="N146" s="168">
        <f t="shared" si="125"/>
        <v>0</v>
      </c>
      <c r="O146" s="53">
        <f t="shared" si="125"/>
        <v>0</v>
      </c>
      <c r="P146" s="168">
        <f t="shared" si="125"/>
        <v>0</v>
      </c>
      <c r="Q146" s="130">
        <f t="shared" si="125"/>
        <v>0</v>
      </c>
      <c r="R146" s="146">
        <f t="shared" si="125"/>
        <v>0</v>
      </c>
      <c r="S146" s="237"/>
      <c r="T146" s="146">
        <f>SUM(T147:T154)</f>
        <v>0</v>
      </c>
      <c r="U146" s="168">
        <f>SUM(U147:U154)</f>
        <v>0</v>
      </c>
      <c r="V146" s="168">
        <f>SUM(V147:V154)</f>
        <v>0</v>
      </c>
      <c r="W146" s="53">
        <f>SUM(W147:W154)</f>
        <v>0</v>
      </c>
      <c r="X146" s="168">
        <f>SUM(X147:X154)</f>
        <v>0</v>
      </c>
    </row>
    <row r="147" spans="1:24" s="2" customFormat="1">
      <c r="A147" s="230"/>
      <c r="B147" s="34"/>
      <c r="C147" s="34"/>
      <c r="D147" s="72" t="s">
        <v>187</v>
      </c>
      <c r="E147" s="82" t="s">
        <v>188</v>
      </c>
      <c r="F147" s="96">
        <f t="shared" si="110"/>
        <v>761</v>
      </c>
      <c r="G147" s="100">
        <f t="shared" si="111"/>
        <v>338</v>
      </c>
      <c r="H147" s="105">
        <f t="shared" si="67"/>
        <v>0.44415243101182655</v>
      </c>
      <c r="I147" s="113">
        <f>319+442</f>
        <v>761</v>
      </c>
      <c r="J147" s="144">
        <f>156+182</f>
        <v>338</v>
      </c>
      <c r="K147" s="105">
        <f t="shared" si="68"/>
        <v>0.44415243101182655</v>
      </c>
      <c r="L147" s="147"/>
      <c r="M147" s="167"/>
      <c r="N147" s="164"/>
      <c r="O147" s="50"/>
      <c r="P147" s="164"/>
      <c r="Q147" s="127"/>
      <c r="R147" s="147"/>
      <c r="S147" s="238"/>
      <c r="T147" s="147"/>
      <c r="U147" s="164"/>
      <c r="V147" s="164"/>
      <c r="W147" s="50"/>
      <c r="X147" s="164"/>
    </row>
    <row r="148" spans="1:24" s="2" customFormat="1">
      <c r="A148" s="230"/>
      <c r="B148" s="34"/>
      <c r="C148" s="34"/>
      <c r="D148" s="72" t="s">
        <v>12</v>
      </c>
      <c r="E148" s="82" t="s">
        <v>13</v>
      </c>
      <c r="F148" s="96">
        <f t="shared" si="110"/>
        <v>200</v>
      </c>
      <c r="G148" s="100">
        <f t="shared" si="111"/>
        <v>171</v>
      </c>
      <c r="H148" s="105">
        <f t="shared" si="67"/>
        <v>0.85499999999999998</v>
      </c>
      <c r="I148" s="113">
        <f>110+90</f>
        <v>200</v>
      </c>
      <c r="J148" s="144">
        <f>36+135</f>
        <v>171</v>
      </c>
      <c r="K148" s="105">
        <f t="shared" si="68"/>
        <v>0.85499999999999998</v>
      </c>
      <c r="L148" s="147"/>
      <c r="M148" s="167"/>
      <c r="N148" s="164"/>
      <c r="O148" s="50"/>
      <c r="P148" s="164"/>
      <c r="Q148" s="127"/>
      <c r="R148" s="147"/>
      <c r="S148" s="238"/>
      <c r="T148" s="147"/>
      <c r="U148" s="164"/>
      <c r="V148" s="164"/>
      <c r="W148" s="50"/>
      <c r="X148" s="164"/>
    </row>
    <row r="149" spans="1:24">
      <c r="B149" s="34"/>
      <c r="C149" s="34"/>
      <c r="D149" s="70" t="s">
        <v>32</v>
      </c>
      <c r="E149" s="82" t="s">
        <v>172</v>
      </c>
      <c r="F149" s="96">
        <f t="shared" si="110"/>
        <v>18060</v>
      </c>
      <c r="G149" s="100">
        <f t="shared" si="111"/>
        <v>7128.67</v>
      </c>
      <c r="H149" s="105">
        <f t="shared" si="67"/>
        <v>0.39472148394241419</v>
      </c>
      <c r="I149" s="109">
        <f>11460+6600</f>
        <v>18060</v>
      </c>
      <c r="J149" s="149">
        <f>5180+1948.67</f>
        <v>7128.67</v>
      </c>
      <c r="K149" s="105">
        <f t="shared" si="68"/>
        <v>0.39472148394241419</v>
      </c>
      <c r="L149" s="147"/>
      <c r="M149" s="164"/>
      <c r="N149" s="164"/>
      <c r="O149" s="50"/>
      <c r="P149" s="164"/>
      <c r="Q149" s="127"/>
      <c r="R149" s="147"/>
      <c r="S149" s="238"/>
      <c r="T149" s="147"/>
      <c r="U149" s="164"/>
      <c r="V149" s="164"/>
      <c r="W149" s="50"/>
      <c r="X149" s="164"/>
    </row>
    <row r="150" spans="1:24">
      <c r="B150" s="34"/>
      <c r="C150" s="34"/>
      <c r="D150" s="70" t="s">
        <v>52</v>
      </c>
      <c r="E150" s="82" t="s">
        <v>53</v>
      </c>
      <c r="F150" s="96">
        <f t="shared" si="110"/>
        <v>336</v>
      </c>
      <c r="G150" s="100">
        <f t="shared" si="111"/>
        <v>336</v>
      </c>
      <c r="H150" s="105">
        <f t="shared" si="67"/>
        <v>1</v>
      </c>
      <c r="I150" s="109">
        <v>336</v>
      </c>
      <c r="J150" s="149">
        <v>336</v>
      </c>
      <c r="K150" s="105">
        <f t="shared" si="68"/>
        <v>1</v>
      </c>
      <c r="L150" s="147"/>
      <c r="M150" s="164"/>
      <c r="N150" s="164"/>
      <c r="O150" s="50"/>
      <c r="P150" s="164"/>
      <c r="Q150" s="127"/>
      <c r="R150" s="147"/>
      <c r="S150" s="238"/>
      <c r="T150" s="147"/>
      <c r="U150" s="164"/>
      <c r="V150" s="164"/>
      <c r="W150" s="50"/>
      <c r="X150" s="164"/>
    </row>
    <row r="151" spans="1:24">
      <c r="B151" s="34"/>
      <c r="C151" s="34"/>
      <c r="D151" s="70" t="s">
        <v>29</v>
      </c>
      <c r="E151" s="82" t="s">
        <v>163</v>
      </c>
      <c r="F151" s="96">
        <f t="shared" si="110"/>
        <v>904</v>
      </c>
      <c r="G151" s="100">
        <f t="shared" si="111"/>
        <v>399.66999999999996</v>
      </c>
      <c r="H151" s="105">
        <f t="shared" si="67"/>
        <v>0.44211283185840705</v>
      </c>
      <c r="I151" s="109">
        <f>504+400</f>
        <v>904</v>
      </c>
      <c r="J151" s="149">
        <f>240.82+158.85</f>
        <v>399.66999999999996</v>
      </c>
      <c r="K151" s="105">
        <f t="shared" si="68"/>
        <v>0.44211283185840705</v>
      </c>
      <c r="L151" s="147"/>
      <c r="M151" s="164"/>
      <c r="N151" s="164"/>
      <c r="O151" s="50"/>
      <c r="P151" s="164"/>
      <c r="Q151" s="127"/>
      <c r="R151" s="147"/>
      <c r="S151" s="238"/>
      <c r="T151" s="147"/>
      <c r="U151" s="164"/>
      <c r="V151" s="164"/>
      <c r="W151" s="50"/>
      <c r="X151" s="164"/>
    </row>
    <row r="152" spans="1:24">
      <c r="B152" s="34"/>
      <c r="C152" s="34"/>
      <c r="D152" s="72" t="s">
        <v>16</v>
      </c>
      <c r="E152" s="82" t="s">
        <v>168</v>
      </c>
      <c r="F152" s="96">
        <f t="shared" si="110"/>
        <v>8290</v>
      </c>
      <c r="G152" s="100">
        <f t="shared" si="111"/>
        <v>1860</v>
      </c>
      <c r="H152" s="105">
        <f t="shared" si="67"/>
        <v>0.22436670687575391</v>
      </c>
      <c r="I152" s="109">
        <v>8290</v>
      </c>
      <c r="J152" s="149">
        <v>1860</v>
      </c>
      <c r="K152" s="105">
        <f t="shared" si="68"/>
        <v>0.22436670687575391</v>
      </c>
      <c r="L152" s="147"/>
      <c r="M152" s="164"/>
      <c r="N152" s="164"/>
      <c r="O152" s="50"/>
      <c r="P152" s="164"/>
      <c r="Q152" s="127"/>
      <c r="R152" s="147"/>
      <c r="S152" s="238"/>
      <c r="T152" s="147"/>
      <c r="U152" s="164"/>
      <c r="V152" s="164"/>
      <c r="W152" s="50"/>
      <c r="X152" s="164"/>
    </row>
    <row r="153" spans="1:24">
      <c r="B153" s="34"/>
      <c r="C153" s="34"/>
      <c r="D153" s="70" t="s">
        <v>7</v>
      </c>
      <c r="E153" s="79" t="s">
        <v>8</v>
      </c>
      <c r="F153" s="96">
        <f t="shared" si="110"/>
        <v>73302</v>
      </c>
      <c r="G153" s="100">
        <f t="shared" si="111"/>
        <v>75800.790000000008</v>
      </c>
      <c r="H153" s="105">
        <f t="shared" si="67"/>
        <v>1.0340889743799624</v>
      </c>
      <c r="I153" s="109">
        <f>19101+54201</f>
        <v>73302</v>
      </c>
      <c r="J153" s="149">
        <f>22110.35+53690.44</f>
        <v>75800.790000000008</v>
      </c>
      <c r="K153" s="105">
        <f t="shared" si="68"/>
        <v>1.0340889743799624</v>
      </c>
      <c r="L153" s="147"/>
      <c r="M153" s="164"/>
      <c r="N153" s="164"/>
      <c r="O153" s="50"/>
      <c r="P153" s="164"/>
      <c r="Q153" s="127"/>
      <c r="R153" s="147"/>
      <c r="S153" s="238"/>
      <c r="T153" s="147"/>
      <c r="U153" s="164"/>
      <c r="V153" s="164"/>
      <c r="W153" s="50"/>
      <c r="X153" s="164"/>
    </row>
    <row r="154" spans="1:24">
      <c r="B154" s="34"/>
      <c r="C154" s="34"/>
      <c r="D154" s="70" t="s">
        <v>54</v>
      </c>
      <c r="E154" s="79" t="s">
        <v>135</v>
      </c>
      <c r="F154" s="96">
        <f t="shared" si="110"/>
        <v>18000</v>
      </c>
      <c r="G154" s="100">
        <f t="shared" si="111"/>
        <v>18000</v>
      </c>
      <c r="H154" s="105">
        <f t="shared" si="67"/>
        <v>1</v>
      </c>
      <c r="I154" s="109">
        <v>18000</v>
      </c>
      <c r="J154" s="149">
        <v>18000</v>
      </c>
      <c r="K154" s="105">
        <f t="shared" si="68"/>
        <v>1</v>
      </c>
      <c r="L154" s="147"/>
      <c r="M154" s="164"/>
      <c r="N154" s="164"/>
      <c r="O154" s="50"/>
      <c r="P154" s="164"/>
      <c r="Q154" s="127"/>
      <c r="R154" s="147"/>
      <c r="S154" s="238"/>
      <c r="T154" s="147"/>
      <c r="U154" s="164"/>
      <c r="V154" s="164"/>
      <c r="W154" s="50"/>
      <c r="X154" s="164"/>
    </row>
    <row r="155" spans="1:24" s="6" customFormat="1">
      <c r="A155" s="229"/>
      <c r="B155" s="33"/>
      <c r="C155" s="33">
        <v>80130</v>
      </c>
      <c r="D155" s="67"/>
      <c r="E155" s="85" t="s">
        <v>60</v>
      </c>
      <c r="F155" s="95">
        <f t="shared" si="110"/>
        <v>4598608</v>
      </c>
      <c r="G155" s="99">
        <f t="shared" si="111"/>
        <v>1681977.91</v>
      </c>
      <c r="H155" s="104">
        <f t="shared" si="67"/>
        <v>0.3657580533065658</v>
      </c>
      <c r="I155" s="111">
        <f>SUM(I156:I168)</f>
        <v>1289020</v>
      </c>
      <c r="J155" s="146">
        <f>SUM(J156:J168)</f>
        <v>833014.19</v>
      </c>
      <c r="K155" s="104">
        <f t="shared" si="68"/>
        <v>0.64623837488945091</v>
      </c>
      <c r="L155" s="146">
        <f t="shared" ref="L155:R155" si="126">SUM(L156:L168)</f>
        <v>731854.15</v>
      </c>
      <c r="M155" s="168">
        <f t="shared" si="126"/>
        <v>0</v>
      </c>
      <c r="N155" s="168">
        <f t="shared" si="126"/>
        <v>0</v>
      </c>
      <c r="O155" s="53">
        <f t="shared" si="126"/>
        <v>0</v>
      </c>
      <c r="P155" s="168">
        <f t="shared" si="126"/>
        <v>0</v>
      </c>
      <c r="Q155" s="130">
        <f t="shared" si="126"/>
        <v>3309588</v>
      </c>
      <c r="R155" s="146">
        <f t="shared" si="126"/>
        <v>848963.72</v>
      </c>
      <c r="S155" s="237">
        <f>SUM(R155/Q155)</f>
        <v>0.25651643648695849</v>
      </c>
      <c r="T155" s="146">
        <f>SUM(T156:T168)</f>
        <v>848963.72</v>
      </c>
      <c r="U155" s="168">
        <f>SUM(U156:U168)</f>
        <v>0</v>
      </c>
      <c r="V155" s="168">
        <f>SUM(V156:V168)</f>
        <v>0</v>
      </c>
      <c r="W155" s="53">
        <f>SUM(W156:W168)</f>
        <v>0</v>
      </c>
      <c r="X155" s="168">
        <f>SUM(X156:X168)</f>
        <v>0</v>
      </c>
    </row>
    <row r="156" spans="1:24">
      <c r="B156" s="34"/>
      <c r="C156" s="34"/>
      <c r="D156" s="72" t="s">
        <v>187</v>
      </c>
      <c r="E156" s="82" t="s">
        <v>188</v>
      </c>
      <c r="F156" s="96">
        <f t="shared" si="110"/>
        <v>784</v>
      </c>
      <c r="G156" s="100">
        <f t="shared" si="111"/>
        <v>806</v>
      </c>
      <c r="H156" s="105">
        <f t="shared" si="67"/>
        <v>1.028061224489796</v>
      </c>
      <c r="I156" s="109">
        <f>50+500+234</f>
        <v>784</v>
      </c>
      <c r="J156" s="149">
        <f>26+52+494+130+104</f>
        <v>806</v>
      </c>
      <c r="K156" s="105">
        <f>SUM(J156/I156)</f>
        <v>1.028061224489796</v>
      </c>
      <c r="L156" s="147"/>
      <c r="M156" s="164"/>
      <c r="N156" s="164"/>
      <c r="O156" s="50"/>
      <c r="P156" s="164"/>
      <c r="Q156" s="127"/>
      <c r="R156" s="147"/>
      <c r="S156" s="238"/>
      <c r="T156" s="147"/>
      <c r="U156" s="164"/>
      <c r="V156" s="164"/>
      <c r="W156" s="50"/>
      <c r="X156" s="164"/>
    </row>
    <row r="157" spans="1:24">
      <c r="B157" s="34"/>
      <c r="C157" s="34"/>
      <c r="D157" s="72" t="s">
        <v>12</v>
      </c>
      <c r="E157" s="82" t="s">
        <v>13</v>
      </c>
      <c r="F157" s="96">
        <f t="shared" si="110"/>
        <v>231</v>
      </c>
      <c r="G157" s="100">
        <f t="shared" si="111"/>
        <v>189</v>
      </c>
      <c r="H157" s="105">
        <f t="shared" si="67"/>
        <v>0.81818181818181823</v>
      </c>
      <c r="I157" s="109">
        <f>150+9+72</f>
        <v>231</v>
      </c>
      <c r="J157" s="149">
        <f>9+72+9+99</f>
        <v>189</v>
      </c>
      <c r="K157" s="105">
        <f t="shared" ref="K157:K159" si="127">SUM(J157/I157)</f>
        <v>0.81818181818181823</v>
      </c>
      <c r="L157" s="147"/>
      <c r="M157" s="164"/>
      <c r="N157" s="164"/>
      <c r="O157" s="50"/>
      <c r="P157" s="164"/>
      <c r="Q157" s="127"/>
      <c r="R157" s="147"/>
      <c r="S157" s="238"/>
      <c r="T157" s="147"/>
      <c r="U157" s="164"/>
      <c r="V157" s="164"/>
      <c r="W157" s="50"/>
      <c r="X157" s="164"/>
    </row>
    <row r="158" spans="1:24">
      <c r="B158" s="34"/>
      <c r="C158" s="34"/>
      <c r="D158" s="72" t="s">
        <v>32</v>
      </c>
      <c r="E158" s="82" t="s">
        <v>172</v>
      </c>
      <c r="F158" s="96">
        <f t="shared" si="110"/>
        <v>69624</v>
      </c>
      <c r="G158" s="100">
        <f t="shared" si="111"/>
        <v>54870.239999999998</v>
      </c>
      <c r="H158" s="105">
        <f t="shared" si="67"/>
        <v>0.78809376077214754</v>
      </c>
      <c r="I158" s="109">
        <f>9800+54100+5724</f>
        <v>69624</v>
      </c>
      <c r="J158" s="149">
        <f>5270.57+46740.31+2859.36</f>
        <v>54870.239999999998</v>
      </c>
      <c r="K158" s="105">
        <f t="shared" si="127"/>
        <v>0.78809376077214754</v>
      </c>
      <c r="L158" s="147"/>
      <c r="M158" s="164"/>
      <c r="N158" s="164"/>
      <c r="O158" s="50"/>
      <c r="P158" s="164"/>
      <c r="Q158" s="127"/>
      <c r="R158" s="147"/>
      <c r="S158" s="238"/>
      <c r="T158" s="147"/>
      <c r="U158" s="164"/>
      <c r="V158" s="164"/>
      <c r="W158" s="50"/>
      <c r="X158" s="164"/>
    </row>
    <row r="159" spans="1:24">
      <c r="B159" s="34"/>
      <c r="C159" s="34"/>
      <c r="D159" s="70" t="s">
        <v>52</v>
      </c>
      <c r="E159" s="82" t="s">
        <v>53</v>
      </c>
      <c r="F159" s="96">
        <f t="shared" si="110"/>
        <v>21194</v>
      </c>
      <c r="G159" s="100">
        <f t="shared" si="111"/>
        <v>10018.390000000001</v>
      </c>
      <c r="H159" s="105">
        <f t="shared" si="67"/>
        <v>0.4726993488723224</v>
      </c>
      <c r="I159" s="109">
        <f>17500+3694</f>
        <v>21194</v>
      </c>
      <c r="J159" s="149">
        <f>8544.69+1473.7</f>
        <v>10018.390000000001</v>
      </c>
      <c r="K159" s="105">
        <f t="shared" si="127"/>
        <v>0.4726993488723224</v>
      </c>
      <c r="L159" s="147"/>
      <c r="M159" s="164"/>
      <c r="N159" s="164"/>
      <c r="O159" s="50"/>
      <c r="P159" s="164"/>
      <c r="Q159" s="127"/>
      <c r="R159" s="147"/>
      <c r="S159" s="238"/>
      <c r="T159" s="147"/>
      <c r="U159" s="164"/>
      <c r="V159" s="164"/>
      <c r="W159" s="50"/>
      <c r="X159" s="164"/>
    </row>
    <row r="160" spans="1:24" hidden="1">
      <c r="B160" s="34"/>
      <c r="C160" s="34"/>
      <c r="D160" s="70" t="s">
        <v>61</v>
      </c>
      <c r="E160" s="82" t="s">
        <v>62</v>
      </c>
      <c r="F160" s="96">
        <f t="shared" si="110"/>
        <v>0</v>
      </c>
      <c r="G160" s="100">
        <f t="shared" si="111"/>
        <v>0</v>
      </c>
      <c r="H160" s="105" t="e">
        <f t="shared" si="67"/>
        <v>#DIV/0!</v>
      </c>
      <c r="I160" s="109"/>
      <c r="J160" s="149"/>
      <c r="K160" s="105"/>
      <c r="L160" s="147"/>
      <c r="M160" s="164"/>
      <c r="N160" s="164"/>
      <c r="O160" s="50"/>
      <c r="P160" s="164"/>
      <c r="Q160" s="127"/>
      <c r="R160" s="147"/>
      <c r="S160" s="238"/>
      <c r="T160" s="147"/>
      <c r="U160" s="164"/>
      <c r="V160" s="164"/>
      <c r="W160" s="50"/>
      <c r="X160" s="164"/>
    </row>
    <row r="161" spans="1:24">
      <c r="B161" s="34"/>
      <c r="C161" s="34"/>
      <c r="D161" s="70" t="s">
        <v>29</v>
      </c>
      <c r="E161" s="82" t="s">
        <v>163</v>
      </c>
      <c r="F161" s="96">
        <f t="shared" si="110"/>
        <v>3630</v>
      </c>
      <c r="G161" s="100">
        <f t="shared" si="111"/>
        <v>1857.7099999999998</v>
      </c>
      <c r="H161" s="105">
        <f t="shared" si="67"/>
        <v>0.51176584022038563</v>
      </c>
      <c r="I161" s="109">
        <f>150+500+1600+1200+180</f>
        <v>3630</v>
      </c>
      <c r="J161" s="149">
        <f>157.78+637.16+525.66+198.27+338.84</f>
        <v>1857.7099999999998</v>
      </c>
      <c r="K161" s="105">
        <f t="shared" si="68"/>
        <v>0.51176584022038563</v>
      </c>
      <c r="L161" s="147"/>
      <c r="M161" s="164"/>
      <c r="N161" s="164"/>
      <c r="O161" s="50"/>
      <c r="P161" s="164"/>
      <c r="Q161" s="127"/>
      <c r="R161" s="147"/>
      <c r="S161" s="238"/>
      <c r="T161" s="147"/>
      <c r="U161" s="164"/>
      <c r="V161" s="164"/>
      <c r="W161" s="50"/>
      <c r="X161" s="164"/>
    </row>
    <row r="162" spans="1:24">
      <c r="B162" s="34"/>
      <c r="C162" s="34"/>
      <c r="D162" s="70" t="s">
        <v>7</v>
      </c>
      <c r="E162" s="79" t="s">
        <v>8</v>
      </c>
      <c r="F162" s="96">
        <f t="shared" si="110"/>
        <v>73234</v>
      </c>
      <c r="G162" s="100">
        <f t="shared" si="111"/>
        <v>33418.699999999997</v>
      </c>
      <c r="H162" s="105">
        <f t="shared" si="67"/>
        <v>0.45632766201491104</v>
      </c>
      <c r="I162" s="109">
        <f>150+25720+11550+10372+25442</f>
        <v>73234</v>
      </c>
      <c r="J162" s="149">
        <f>82+3936.13+12771.62+2062.57+14566.38</f>
        <v>33418.699999999997</v>
      </c>
      <c r="K162" s="105">
        <f t="shared" si="68"/>
        <v>0.45632766201491104</v>
      </c>
      <c r="L162" s="147"/>
      <c r="M162" s="164"/>
      <c r="N162" s="164"/>
      <c r="O162" s="50"/>
      <c r="P162" s="164"/>
      <c r="Q162" s="127"/>
      <c r="R162" s="147"/>
      <c r="S162" s="238"/>
      <c r="T162" s="147"/>
      <c r="U162" s="164"/>
      <c r="V162" s="164"/>
      <c r="W162" s="50"/>
      <c r="X162" s="164"/>
    </row>
    <row r="163" spans="1:24" hidden="1">
      <c r="B163" s="34"/>
      <c r="C163" s="34"/>
      <c r="D163" s="70" t="s">
        <v>104</v>
      </c>
      <c r="E163" s="79" t="s">
        <v>106</v>
      </c>
      <c r="F163" s="96">
        <f t="shared" si="110"/>
        <v>0</v>
      </c>
      <c r="G163" s="100">
        <f t="shared" si="111"/>
        <v>0</v>
      </c>
      <c r="H163" s="105" t="e">
        <f t="shared" si="67"/>
        <v>#DIV/0!</v>
      </c>
      <c r="I163" s="109"/>
      <c r="J163" s="149"/>
      <c r="K163" s="105"/>
      <c r="L163" s="147"/>
      <c r="M163" s="164"/>
      <c r="N163" s="164"/>
      <c r="O163" s="50"/>
      <c r="P163" s="164"/>
      <c r="Q163" s="127"/>
      <c r="R163" s="147"/>
      <c r="S163" s="238"/>
      <c r="T163" s="147"/>
      <c r="U163" s="164"/>
      <c r="V163" s="164"/>
      <c r="W163" s="50"/>
      <c r="X163" s="164"/>
    </row>
    <row r="164" spans="1:24">
      <c r="B164" s="34"/>
      <c r="C164" s="34"/>
      <c r="D164" s="70" t="s">
        <v>158</v>
      </c>
      <c r="E164" s="79" t="s">
        <v>106</v>
      </c>
      <c r="F164" s="96">
        <f t="shared" si="110"/>
        <v>571970</v>
      </c>
      <c r="G164" s="100">
        <f t="shared" si="111"/>
        <v>210766.9</v>
      </c>
      <c r="H164" s="105">
        <f t="shared" si="67"/>
        <v>0.36849292795076666</v>
      </c>
      <c r="I164" s="109">
        <v>571970</v>
      </c>
      <c r="J164" s="149">
        <v>210766.9</v>
      </c>
      <c r="K164" s="105">
        <f t="shared" si="68"/>
        <v>0.36849292795076666</v>
      </c>
      <c r="L164" s="147">
        <v>210766.9</v>
      </c>
      <c r="M164" s="164"/>
      <c r="N164" s="164"/>
      <c r="O164" s="50"/>
      <c r="P164" s="164"/>
      <c r="Q164" s="127"/>
      <c r="R164" s="147"/>
      <c r="S164" s="238"/>
      <c r="T164" s="147"/>
      <c r="U164" s="164"/>
      <c r="V164" s="164"/>
      <c r="W164" s="50"/>
      <c r="X164" s="164"/>
    </row>
    <row r="165" spans="1:24">
      <c r="B165" s="34"/>
      <c r="C165" s="34"/>
      <c r="D165" s="70" t="s">
        <v>156</v>
      </c>
      <c r="E165" s="79" t="s">
        <v>106</v>
      </c>
      <c r="F165" s="96">
        <f t="shared" si="110"/>
        <v>548353</v>
      </c>
      <c r="G165" s="100">
        <f t="shared" si="111"/>
        <v>521087.25</v>
      </c>
      <c r="H165" s="105">
        <f t="shared" si="67"/>
        <v>0.95027701134123455</v>
      </c>
      <c r="I165" s="109">
        <v>548353</v>
      </c>
      <c r="J165" s="149">
        <v>521087.25</v>
      </c>
      <c r="K165" s="105">
        <f t="shared" si="68"/>
        <v>0.95027701134123455</v>
      </c>
      <c r="L165" s="147">
        <v>521087.25</v>
      </c>
      <c r="M165" s="164"/>
      <c r="N165" s="164"/>
      <c r="O165" s="50"/>
      <c r="P165" s="164"/>
      <c r="Q165" s="127"/>
      <c r="R165" s="147"/>
      <c r="S165" s="238"/>
      <c r="T165" s="147"/>
      <c r="U165" s="164"/>
      <c r="V165" s="164"/>
      <c r="W165" s="50"/>
      <c r="X165" s="164"/>
    </row>
    <row r="166" spans="1:24" hidden="1">
      <c r="B166" s="34"/>
      <c r="C166" s="34"/>
      <c r="D166" s="70" t="s">
        <v>59</v>
      </c>
      <c r="E166" s="79" t="s">
        <v>119</v>
      </c>
      <c r="F166" s="96">
        <f t="shared" si="110"/>
        <v>0</v>
      </c>
      <c r="G166" s="100">
        <f t="shared" si="111"/>
        <v>0</v>
      </c>
      <c r="H166" s="105" t="e">
        <f t="shared" si="67"/>
        <v>#DIV/0!</v>
      </c>
      <c r="I166" s="109"/>
      <c r="J166" s="149"/>
      <c r="K166" s="105"/>
      <c r="L166" s="147"/>
      <c r="M166" s="164"/>
      <c r="N166" s="164"/>
      <c r="O166" s="50"/>
      <c r="P166" s="164"/>
      <c r="Q166" s="127"/>
      <c r="R166" s="147"/>
      <c r="S166" s="238"/>
      <c r="T166" s="147"/>
      <c r="U166" s="164"/>
      <c r="V166" s="164"/>
      <c r="W166" s="50"/>
      <c r="X166" s="164"/>
    </row>
    <row r="167" spans="1:24">
      <c r="B167" s="34"/>
      <c r="C167" s="34"/>
      <c r="D167" s="70" t="s">
        <v>160</v>
      </c>
      <c r="E167" s="79" t="s">
        <v>106</v>
      </c>
      <c r="F167" s="96">
        <f t="shared" si="110"/>
        <v>3309588</v>
      </c>
      <c r="G167" s="100">
        <f t="shared" si="111"/>
        <v>848963.72</v>
      </c>
      <c r="H167" s="105">
        <f t="shared" si="67"/>
        <v>0.25651643648695849</v>
      </c>
      <c r="I167" s="109"/>
      <c r="J167" s="149"/>
      <c r="K167" s="105"/>
      <c r="L167" s="147"/>
      <c r="M167" s="164"/>
      <c r="N167" s="164"/>
      <c r="O167" s="50"/>
      <c r="P167" s="164"/>
      <c r="Q167" s="127">
        <v>3309588</v>
      </c>
      <c r="R167" s="147">
        <v>848963.72</v>
      </c>
      <c r="S167" s="238">
        <f>SUM(R167/Q167)</f>
        <v>0.25651643648695849</v>
      </c>
      <c r="T167" s="147">
        <v>848963.72</v>
      </c>
      <c r="U167" s="164"/>
      <c r="V167" s="164"/>
      <c r="W167" s="50"/>
      <c r="X167" s="164"/>
    </row>
    <row r="168" spans="1:24" hidden="1">
      <c r="B168" s="34"/>
      <c r="C168" s="34"/>
      <c r="D168" s="70" t="s">
        <v>102</v>
      </c>
      <c r="E168" s="79" t="s">
        <v>140</v>
      </c>
      <c r="F168" s="96">
        <f t="shared" si="110"/>
        <v>0</v>
      </c>
      <c r="G168" s="100">
        <f t="shared" si="111"/>
        <v>0</v>
      </c>
      <c r="H168" s="105" t="e">
        <f t="shared" si="67"/>
        <v>#DIV/0!</v>
      </c>
      <c r="I168" s="109"/>
      <c r="J168" s="149"/>
      <c r="K168" s="105"/>
      <c r="L168" s="149"/>
      <c r="M168" s="164"/>
      <c r="N168" s="164"/>
      <c r="O168" s="50"/>
      <c r="P168" s="164"/>
      <c r="Q168" s="127"/>
      <c r="R168" s="147"/>
      <c r="S168" s="238"/>
      <c r="T168" s="147"/>
      <c r="U168" s="164"/>
      <c r="V168" s="164"/>
      <c r="W168" s="50"/>
      <c r="X168" s="164"/>
    </row>
    <row r="169" spans="1:24" s="6" customFormat="1">
      <c r="A169" s="229"/>
      <c r="B169" s="37"/>
      <c r="C169" s="37">
        <v>80144</v>
      </c>
      <c r="D169" s="73"/>
      <c r="E169" s="83" t="s">
        <v>86</v>
      </c>
      <c r="F169" s="95">
        <f t="shared" si="110"/>
        <v>129000</v>
      </c>
      <c r="G169" s="99">
        <f t="shared" si="111"/>
        <v>107433.32</v>
      </c>
      <c r="H169" s="104">
        <f t="shared" si="67"/>
        <v>0.83281643410852724</v>
      </c>
      <c r="I169" s="116">
        <f>SUM(I170:I171)</f>
        <v>129000</v>
      </c>
      <c r="J169" s="150">
        <f>SUM(J170:J171)</f>
        <v>107433.32</v>
      </c>
      <c r="K169" s="104">
        <f t="shared" si="68"/>
        <v>0.83281643410852724</v>
      </c>
      <c r="L169" s="150">
        <f t="shared" ref="L169:R169" si="128">SUM(L170:L171)</f>
        <v>0</v>
      </c>
      <c r="M169" s="169">
        <f t="shared" si="128"/>
        <v>0</v>
      </c>
      <c r="N169" s="169">
        <f t="shared" si="128"/>
        <v>0</v>
      </c>
      <c r="O169" s="54">
        <f t="shared" si="128"/>
        <v>0</v>
      </c>
      <c r="P169" s="169">
        <f t="shared" si="128"/>
        <v>0</v>
      </c>
      <c r="Q169" s="133">
        <f t="shared" si="128"/>
        <v>0</v>
      </c>
      <c r="R169" s="150">
        <f t="shared" si="128"/>
        <v>0</v>
      </c>
      <c r="S169" s="237"/>
      <c r="T169" s="150">
        <f>SUM(T170:T171)</f>
        <v>0</v>
      </c>
      <c r="U169" s="169">
        <f>SUM(U170:U171)</f>
        <v>0</v>
      </c>
      <c r="V169" s="169">
        <f>SUM(V170:V171)</f>
        <v>0</v>
      </c>
      <c r="W169" s="54">
        <f>SUM(W170:W171)</f>
        <v>0</v>
      </c>
      <c r="X169" s="169">
        <f>SUM(X170:X171)</f>
        <v>0</v>
      </c>
    </row>
    <row r="170" spans="1:24" s="6" customFormat="1">
      <c r="A170" s="229"/>
      <c r="B170" s="40"/>
      <c r="C170" s="40"/>
      <c r="D170" s="70" t="s">
        <v>57</v>
      </c>
      <c r="E170" s="89" t="s">
        <v>58</v>
      </c>
      <c r="F170" s="96">
        <f t="shared" si="110"/>
        <v>36000</v>
      </c>
      <c r="G170" s="100">
        <f t="shared" si="111"/>
        <v>25111.3</v>
      </c>
      <c r="H170" s="105">
        <f t="shared" si="67"/>
        <v>0.69753611111111113</v>
      </c>
      <c r="I170" s="109">
        <v>36000</v>
      </c>
      <c r="J170" s="149">
        <v>25111.3</v>
      </c>
      <c r="K170" s="105">
        <f t="shared" si="68"/>
        <v>0.69753611111111113</v>
      </c>
      <c r="L170" s="149"/>
      <c r="M170" s="170"/>
      <c r="N170" s="170"/>
      <c r="O170" s="55"/>
      <c r="P170" s="170"/>
      <c r="Q170" s="134"/>
      <c r="R170" s="149"/>
      <c r="S170" s="238"/>
      <c r="T170" s="149"/>
      <c r="U170" s="170"/>
      <c r="V170" s="170"/>
      <c r="W170" s="55"/>
      <c r="X170" s="170"/>
    </row>
    <row r="171" spans="1:24">
      <c r="B171" s="41"/>
      <c r="C171" s="34"/>
      <c r="D171" s="70" t="s">
        <v>7</v>
      </c>
      <c r="E171" s="79" t="s">
        <v>8</v>
      </c>
      <c r="F171" s="96">
        <f t="shared" si="110"/>
        <v>93000</v>
      </c>
      <c r="G171" s="100">
        <f t="shared" si="111"/>
        <v>82322.02</v>
      </c>
      <c r="H171" s="105">
        <f t="shared" si="67"/>
        <v>0.88518301075268824</v>
      </c>
      <c r="I171" s="109">
        <v>93000</v>
      </c>
      <c r="J171" s="149">
        <v>82322.02</v>
      </c>
      <c r="K171" s="105">
        <f t="shared" si="68"/>
        <v>0.88518301075268824</v>
      </c>
      <c r="L171" s="147"/>
      <c r="M171" s="164"/>
      <c r="N171" s="164"/>
      <c r="O171" s="50"/>
      <c r="P171" s="164"/>
      <c r="Q171" s="127"/>
      <c r="R171" s="147"/>
      <c r="S171" s="238"/>
      <c r="T171" s="147"/>
      <c r="U171" s="164"/>
      <c r="V171" s="164"/>
      <c r="W171" s="50"/>
      <c r="X171" s="164"/>
    </row>
    <row r="172" spans="1:24" s="6" customFormat="1">
      <c r="A172" s="229"/>
      <c r="B172" s="33"/>
      <c r="C172" s="33">
        <v>80148</v>
      </c>
      <c r="D172" s="67"/>
      <c r="E172" s="78" t="s">
        <v>63</v>
      </c>
      <c r="F172" s="95">
        <f t="shared" si="110"/>
        <v>43989</v>
      </c>
      <c r="G172" s="99">
        <f t="shared" si="111"/>
        <v>26934.400000000001</v>
      </c>
      <c r="H172" s="104">
        <f t="shared" si="67"/>
        <v>0.61229852917774896</v>
      </c>
      <c r="I172" s="108">
        <f>SUM(I173)</f>
        <v>43989</v>
      </c>
      <c r="J172" s="143">
        <f t="shared" ref="J172:X176" si="129">SUM(J173)</f>
        <v>26934.400000000001</v>
      </c>
      <c r="K172" s="104">
        <f t="shared" si="68"/>
        <v>0.61229852917774896</v>
      </c>
      <c r="L172" s="143">
        <f t="shared" si="129"/>
        <v>0</v>
      </c>
      <c r="M172" s="163">
        <f t="shared" si="129"/>
        <v>0</v>
      </c>
      <c r="N172" s="163">
        <f t="shared" si="129"/>
        <v>0</v>
      </c>
      <c r="O172" s="49">
        <f t="shared" si="129"/>
        <v>0</v>
      </c>
      <c r="P172" s="163">
        <f t="shared" si="129"/>
        <v>0</v>
      </c>
      <c r="Q172" s="126">
        <f t="shared" si="129"/>
        <v>0</v>
      </c>
      <c r="R172" s="143">
        <f t="shared" si="129"/>
        <v>0</v>
      </c>
      <c r="S172" s="237"/>
      <c r="T172" s="143">
        <f t="shared" si="129"/>
        <v>0</v>
      </c>
      <c r="U172" s="163">
        <f t="shared" si="129"/>
        <v>0</v>
      </c>
      <c r="V172" s="163">
        <f t="shared" si="129"/>
        <v>0</v>
      </c>
      <c r="W172" s="49">
        <f t="shared" si="129"/>
        <v>0</v>
      </c>
      <c r="X172" s="163">
        <f t="shared" si="129"/>
        <v>0</v>
      </c>
    </row>
    <row r="173" spans="1:24">
      <c r="B173" s="34"/>
      <c r="C173" s="34"/>
      <c r="D173" s="70" t="s">
        <v>52</v>
      </c>
      <c r="E173" s="82" t="s">
        <v>53</v>
      </c>
      <c r="F173" s="96">
        <f t="shared" si="110"/>
        <v>43989</v>
      </c>
      <c r="G173" s="100">
        <f t="shared" si="111"/>
        <v>26934.400000000001</v>
      </c>
      <c r="H173" s="105">
        <f t="shared" si="67"/>
        <v>0.61229852917774896</v>
      </c>
      <c r="I173" s="109">
        <v>43989</v>
      </c>
      <c r="J173" s="149">
        <v>26934.400000000001</v>
      </c>
      <c r="K173" s="105">
        <f t="shared" si="68"/>
        <v>0.61229852917774896</v>
      </c>
      <c r="L173" s="147"/>
      <c r="M173" s="164"/>
      <c r="N173" s="164"/>
      <c r="O173" s="50"/>
      <c r="P173" s="164"/>
      <c r="Q173" s="127"/>
      <c r="R173" s="147"/>
      <c r="S173" s="238"/>
      <c r="T173" s="147"/>
      <c r="U173" s="164"/>
      <c r="V173" s="164"/>
      <c r="W173" s="50"/>
      <c r="X173" s="164"/>
    </row>
    <row r="174" spans="1:24" hidden="1">
      <c r="B174" s="45"/>
      <c r="C174" s="45">
        <v>80150</v>
      </c>
      <c r="D174" s="73"/>
      <c r="E174" s="91" t="s">
        <v>169</v>
      </c>
      <c r="F174" s="95">
        <f t="shared" ref="F174:F177" si="130">SUM(I174+Q174)</f>
        <v>0</v>
      </c>
      <c r="G174" s="99">
        <f t="shared" ref="G174:G177" si="131">SUM(J174+R174)</f>
        <v>0</v>
      </c>
      <c r="H174" s="104" t="e">
        <f t="shared" ref="H174:H177" si="132">SUM(G174/F174)</f>
        <v>#DIV/0!</v>
      </c>
      <c r="I174" s="116">
        <f>SUM(I175)</f>
        <v>0</v>
      </c>
      <c r="J174" s="150">
        <f t="shared" si="129"/>
        <v>0</v>
      </c>
      <c r="K174" s="104" t="e">
        <f t="shared" ref="K174:K177" si="133">SUM(J174/I174)</f>
        <v>#DIV/0!</v>
      </c>
      <c r="L174" s="161">
        <f t="shared" si="129"/>
        <v>0</v>
      </c>
      <c r="M174" s="179">
        <f t="shared" si="129"/>
        <v>0</v>
      </c>
      <c r="N174" s="179">
        <f t="shared" si="129"/>
        <v>0</v>
      </c>
      <c r="O174" s="61">
        <f t="shared" si="129"/>
        <v>0</v>
      </c>
      <c r="P174" s="179">
        <f t="shared" si="129"/>
        <v>0</v>
      </c>
      <c r="Q174" s="140">
        <f t="shared" si="129"/>
        <v>0</v>
      </c>
      <c r="R174" s="161">
        <f t="shared" si="129"/>
        <v>0</v>
      </c>
      <c r="S174" s="237"/>
      <c r="T174" s="161">
        <f t="shared" si="129"/>
        <v>0</v>
      </c>
      <c r="U174" s="179">
        <f t="shared" si="129"/>
        <v>0</v>
      </c>
      <c r="V174" s="179">
        <f t="shared" si="129"/>
        <v>0</v>
      </c>
      <c r="W174" s="61">
        <f t="shared" si="129"/>
        <v>0</v>
      </c>
      <c r="X174" s="179">
        <f t="shared" si="129"/>
        <v>0</v>
      </c>
    </row>
    <row r="175" spans="1:24" hidden="1">
      <c r="B175" s="34"/>
      <c r="C175" s="34"/>
      <c r="D175" s="72" t="s">
        <v>7</v>
      </c>
      <c r="E175" s="82" t="s">
        <v>8</v>
      </c>
      <c r="F175" s="96">
        <f t="shared" si="130"/>
        <v>0</v>
      </c>
      <c r="G175" s="100">
        <f t="shared" si="131"/>
        <v>0</v>
      </c>
      <c r="H175" s="105" t="e">
        <f t="shared" si="132"/>
        <v>#DIV/0!</v>
      </c>
      <c r="I175" s="109"/>
      <c r="J175" s="149"/>
      <c r="K175" s="105" t="e">
        <f t="shared" si="133"/>
        <v>#DIV/0!</v>
      </c>
      <c r="L175" s="147"/>
      <c r="M175" s="164"/>
      <c r="N175" s="164"/>
      <c r="O175" s="50"/>
      <c r="P175" s="164"/>
      <c r="Q175" s="127"/>
      <c r="R175" s="147"/>
      <c r="S175" s="238"/>
      <c r="T175" s="147"/>
      <c r="U175" s="164"/>
      <c r="V175" s="164"/>
      <c r="W175" s="50"/>
      <c r="X175" s="164"/>
    </row>
    <row r="176" spans="1:24">
      <c r="B176" s="45"/>
      <c r="C176" s="45">
        <v>80151</v>
      </c>
      <c r="D176" s="73"/>
      <c r="E176" s="91" t="s">
        <v>170</v>
      </c>
      <c r="F176" s="95">
        <f t="shared" si="130"/>
        <v>10000</v>
      </c>
      <c r="G176" s="99">
        <f t="shared" si="131"/>
        <v>7250</v>
      </c>
      <c r="H176" s="104">
        <f t="shared" si="132"/>
        <v>0.72499999999999998</v>
      </c>
      <c r="I176" s="116">
        <f>SUM(I177)</f>
        <v>10000</v>
      </c>
      <c r="J176" s="150">
        <f t="shared" si="129"/>
        <v>7250</v>
      </c>
      <c r="K176" s="104">
        <f t="shared" si="133"/>
        <v>0.72499999999999998</v>
      </c>
      <c r="L176" s="161">
        <f t="shared" si="129"/>
        <v>0</v>
      </c>
      <c r="M176" s="179">
        <f t="shared" si="129"/>
        <v>0</v>
      </c>
      <c r="N176" s="179">
        <f t="shared" si="129"/>
        <v>0</v>
      </c>
      <c r="O176" s="61">
        <f t="shared" si="129"/>
        <v>0</v>
      </c>
      <c r="P176" s="179">
        <f t="shared" si="129"/>
        <v>0</v>
      </c>
      <c r="Q176" s="140">
        <f t="shared" si="129"/>
        <v>0</v>
      </c>
      <c r="R176" s="161">
        <f t="shared" si="129"/>
        <v>0</v>
      </c>
      <c r="S176" s="237"/>
      <c r="T176" s="161">
        <f t="shared" si="129"/>
        <v>0</v>
      </c>
      <c r="U176" s="179">
        <f t="shared" si="129"/>
        <v>0</v>
      </c>
      <c r="V176" s="179">
        <f t="shared" si="129"/>
        <v>0</v>
      </c>
      <c r="W176" s="61">
        <f t="shared" si="129"/>
        <v>0</v>
      </c>
      <c r="X176" s="179">
        <f t="shared" si="129"/>
        <v>0</v>
      </c>
    </row>
    <row r="177" spans="1:24">
      <c r="B177" s="34"/>
      <c r="C177" s="34"/>
      <c r="D177" s="70" t="s">
        <v>7</v>
      </c>
      <c r="E177" s="82" t="s">
        <v>8</v>
      </c>
      <c r="F177" s="96">
        <f t="shared" si="130"/>
        <v>10000</v>
      </c>
      <c r="G177" s="100">
        <f t="shared" si="131"/>
        <v>7250</v>
      </c>
      <c r="H177" s="105">
        <f t="shared" si="132"/>
        <v>0.72499999999999998</v>
      </c>
      <c r="I177" s="109">
        <f>10000</f>
        <v>10000</v>
      </c>
      <c r="J177" s="149">
        <f>7250</f>
        <v>7250</v>
      </c>
      <c r="K177" s="105">
        <f t="shared" si="133"/>
        <v>0.72499999999999998</v>
      </c>
      <c r="L177" s="147"/>
      <c r="M177" s="164"/>
      <c r="N177" s="164"/>
      <c r="O177" s="50"/>
      <c r="P177" s="164"/>
      <c r="Q177" s="127"/>
      <c r="R177" s="147"/>
      <c r="S177" s="238"/>
      <c r="T177" s="147"/>
      <c r="U177" s="164"/>
      <c r="V177" s="164"/>
      <c r="W177" s="50"/>
      <c r="X177" s="164"/>
    </row>
    <row r="178" spans="1:24" s="6" customFormat="1" ht="12" customHeight="1">
      <c r="A178" s="229"/>
      <c r="B178" s="33"/>
      <c r="C178" s="33">
        <v>80195</v>
      </c>
      <c r="D178" s="67"/>
      <c r="E178" s="85" t="s">
        <v>64</v>
      </c>
      <c r="F178" s="95">
        <f>SUM(I178+Q178)</f>
        <v>4359533</v>
      </c>
      <c r="G178" s="99">
        <f t="shared" si="111"/>
        <v>2459148.63</v>
      </c>
      <c r="H178" s="104">
        <f>SUM(G178/F178)</f>
        <v>0.5640853343695299</v>
      </c>
      <c r="I178" s="108">
        <f>SUM(I179:I184)</f>
        <v>3064753</v>
      </c>
      <c r="J178" s="143">
        <f>SUM(J179:J184)</f>
        <v>2458511.13</v>
      </c>
      <c r="K178" s="104">
        <f>SUM(J178/I178)</f>
        <v>0.80218899532849786</v>
      </c>
      <c r="L178" s="143">
        <f>SUM(L179:L184)</f>
        <v>2301942.0299999998</v>
      </c>
      <c r="M178" s="143">
        <f t="shared" ref="M178:O178" si="134">SUM(M179:M184)</f>
        <v>0</v>
      </c>
      <c r="N178" s="143">
        <f t="shared" si="134"/>
        <v>0</v>
      </c>
      <c r="O178" s="143">
        <f t="shared" si="134"/>
        <v>156000</v>
      </c>
      <c r="P178" s="163">
        <f t="shared" ref="P178" si="135">SUM(P179:P179)</f>
        <v>0</v>
      </c>
      <c r="Q178" s="126">
        <f>SUM(Q179:Q184)</f>
        <v>1294780</v>
      </c>
      <c r="R178" s="143">
        <f>SUM(R179:R184)</f>
        <v>637.5</v>
      </c>
      <c r="S178" s="237">
        <f>SUM(R178/Q178)</f>
        <v>4.9236163672593031E-4</v>
      </c>
      <c r="T178" s="143">
        <f>SUM(T179:T184)</f>
        <v>637.5</v>
      </c>
      <c r="U178" s="163">
        <f>SUM(U179:U179)</f>
        <v>0</v>
      </c>
      <c r="V178" s="163">
        <f>SUM(V179:V179)</f>
        <v>0</v>
      </c>
      <c r="W178" s="49">
        <f>SUM(W179:W179)</f>
        <v>0</v>
      </c>
      <c r="X178" s="163">
        <f>SUM(X179:X179)</f>
        <v>0</v>
      </c>
    </row>
    <row r="179" spans="1:24" ht="12" customHeight="1">
      <c r="B179" s="34"/>
      <c r="C179" s="34"/>
      <c r="D179" s="70" t="s">
        <v>7</v>
      </c>
      <c r="E179" s="79" t="s">
        <v>8</v>
      </c>
      <c r="F179" s="96">
        <f t="shared" si="110"/>
        <v>0</v>
      </c>
      <c r="G179" s="100">
        <f t="shared" si="111"/>
        <v>569.1</v>
      </c>
      <c r="H179" s="105"/>
      <c r="I179" s="109">
        <v>0</v>
      </c>
      <c r="J179" s="151">
        <v>569.1</v>
      </c>
      <c r="K179" s="105"/>
      <c r="L179" s="147"/>
      <c r="M179" s="164"/>
      <c r="N179" s="164"/>
      <c r="O179" s="50"/>
      <c r="P179" s="164"/>
      <c r="Q179" s="134"/>
      <c r="R179" s="147"/>
      <c r="S179" s="238"/>
      <c r="T179" s="147"/>
      <c r="U179" s="164"/>
      <c r="V179" s="164"/>
      <c r="W179" s="50"/>
      <c r="X179" s="164"/>
    </row>
    <row r="180" spans="1:24" ht="12" customHeight="1">
      <c r="B180" s="34"/>
      <c r="C180" s="34"/>
      <c r="D180" s="70" t="s">
        <v>156</v>
      </c>
      <c r="E180" s="79" t="s">
        <v>106</v>
      </c>
      <c r="F180" s="96">
        <f t="shared" si="110"/>
        <v>2739614</v>
      </c>
      <c r="G180" s="100">
        <f t="shared" si="111"/>
        <v>2163061.73</v>
      </c>
      <c r="H180" s="105">
        <f t="shared" ref="H180:H184" si="136">SUM(G180/F180)</f>
        <v>0.78954981614198205</v>
      </c>
      <c r="I180" s="109">
        <v>2739614</v>
      </c>
      <c r="J180" s="151">
        <v>2163061.73</v>
      </c>
      <c r="K180" s="105">
        <f t="shared" ref="K180:K182" si="137">SUM(J180/I180)</f>
        <v>0.78954981614198205</v>
      </c>
      <c r="L180" s="147">
        <v>2163061.73</v>
      </c>
      <c r="M180" s="164"/>
      <c r="N180" s="164"/>
      <c r="O180" s="50"/>
      <c r="P180" s="164"/>
      <c r="Q180" s="134"/>
      <c r="R180" s="147"/>
      <c r="S180" s="238"/>
      <c r="T180" s="147"/>
      <c r="U180" s="164"/>
      <c r="V180" s="164"/>
      <c r="W180" s="50"/>
      <c r="X180" s="164"/>
    </row>
    <row r="181" spans="1:24" ht="12" customHeight="1">
      <c r="B181" s="34"/>
      <c r="C181" s="34"/>
      <c r="D181" s="70" t="s">
        <v>159</v>
      </c>
      <c r="E181" s="79" t="s">
        <v>106</v>
      </c>
      <c r="F181" s="96">
        <f t="shared" si="110"/>
        <v>169139</v>
      </c>
      <c r="G181" s="100">
        <f t="shared" si="111"/>
        <v>138880.29999999999</v>
      </c>
      <c r="H181" s="105">
        <f t="shared" si="136"/>
        <v>0.82110157917452498</v>
      </c>
      <c r="I181" s="109">
        <v>169139</v>
      </c>
      <c r="J181" s="151">
        <v>138880.29999999999</v>
      </c>
      <c r="K181" s="105">
        <f t="shared" si="137"/>
        <v>0.82110157917452498</v>
      </c>
      <c r="L181" s="147">
        <v>138880.29999999999</v>
      </c>
      <c r="M181" s="164"/>
      <c r="N181" s="164"/>
      <c r="O181" s="50"/>
      <c r="P181" s="164"/>
      <c r="Q181" s="134"/>
      <c r="R181" s="147"/>
      <c r="S181" s="238"/>
      <c r="T181" s="147"/>
      <c r="U181" s="164"/>
      <c r="V181" s="164"/>
      <c r="W181" s="50"/>
      <c r="X181" s="164"/>
    </row>
    <row r="182" spans="1:24" ht="12" customHeight="1">
      <c r="B182" s="34"/>
      <c r="C182" s="34"/>
      <c r="D182" s="70" t="s">
        <v>35</v>
      </c>
      <c r="E182" s="82" t="s">
        <v>135</v>
      </c>
      <c r="F182" s="96">
        <f t="shared" si="110"/>
        <v>156000</v>
      </c>
      <c r="G182" s="100">
        <f t="shared" si="111"/>
        <v>156000</v>
      </c>
      <c r="H182" s="105">
        <f t="shared" si="136"/>
        <v>1</v>
      </c>
      <c r="I182" s="109">
        <v>156000</v>
      </c>
      <c r="J182" s="151">
        <v>156000</v>
      </c>
      <c r="K182" s="105">
        <f t="shared" si="137"/>
        <v>1</v>
      </c>
      <c r="L182" s="266"/>
      <c r="M182" s="164"/>
      <c r="N182" s="164"/>
      <c r="O182" s="50">
        <v>156000</v>
      </c>
      <c r="P182" s="164"/>
      <c r="Q182" s="134"/>
      <c r="R182" s="147"/>
      <c r="S182" s="238"/>
      <c r="T182" s="147"/>
      <c r="U182" s="164"/>
      <c r="V182" s="164"/>
      <c r="W182" s="50"/>
      <c r="X182" s="164"/>
    </row>
    <row r="183" spans="1:24" ht="12" customHeight="1">
      <c r="B183" s="34"/>
      <c r="C183" s="34"/>
      <c r="D183" s="70" t="s">
        <v>160</v>
      </c>
      <c r="E183" s="79" t="s">
        <v>106</v>
      </c>
      <c r="F183" s="96">
        <f t="shared" si="110"/>
        <v>1294780</v>
      </c>
      <c r="G183" s="100">
        <f t="shared" si="111"/>
        <v>637.5</v>
      </c>
      <c r="H183" s="105">
        <f>SUM(G183/F183)</f>
        <v>4.9236163672593031E-4</v>
      </c>
      <c r="I183" s="109"/>
      <c r="J183" s="151"/>
      <c r="K183" s="105"/>
      <c r="L183" s="147"/>
      <c r="M183" s="164"/>
      <c r="N183" s="164"/>
      <c r="O183" s="50"/>
      <c r="P183" s="164"/>
      <c r="Q183" s="134">
        <v>1294780</v>
      </c>
      <c r="R183" s="147">
        <v>637.5</v>
      </c>
      <c r="S183" s="238">
        <f>SUM(R183/Q183)</f>
        <v>4.9236163672593031E-4</v>
      </c>
      <c r="T183" s="147">
        <v>637.5</v>
      </c>
      <c r="U183" s="164"/>
      <c r="V183" s="164"/>
      <c r="W183" s="50"/>
      <c r="X183" s="164"/>
    </row>
    <row r="184" spans="1:24" ht="12" hidden="1" customHeight="1">
      <c r="B184" s="34"/>
      <c r="C184" s="34"/>
      <c r="D184" s="70" t="s">
        <v>161</v>
      </c>
      <c r="E184" s="79" t="s">
        <v>106</v>
      </c>
      <c r="F184" s="96">
        <f t="shared" si="110"/>
        <v>0</v>
      </c>
      <c r="G184" s="100">
        <f t="shared" si="111"/>
        <v>0</v>
      </c>
      <c r="H184" s="105" t="e">
        <f t="shared" si="136"/>
        <v>#DIV/0!</v>
      </c>
      <c r="I184" s="109"/>
      <c r="J184" s="151"/>
      <c r="K184" s="105"/>
      <c r="L184" s="147"/>
      <c r="M184" s="164"/>
      <c r="N184" s="164"/>
      <c r="O184" s="50"/>
      <c r="P184" s="164"/>
      <c r="Q184" s="134"/>
      <c r="R184" s="147"/>
      <c r="S184" s="238"/>
      <c r="T184" s="147"/>
      <c r="U184" s="164"/>
      <c r="V184" s="164"/>
      <c r="W184" s="50"/>
      <c r="X184" s="164"/>
    </row>
    <row r="185" spans="1:24" s="5" customFormat="1">
      <c r="A185" s="9"/>
      <c r="B185" s="36">
        <v>851</v>
      </c>
      <c r="C185" s="36"/>
      <c r="D185" s="71"/>
      <c r="E185" s="81" t="s">
        <v>65</v>
      </c>
      <c r="F185" s="97">
        <f>SUM(I185+Q185)</f>
        <v>1819750</v>
      </c>
      <c r="G185" s="101">
        <f>SUM(J185+R185)</f>
        <v>557696</v>
      </c>
      <c r="H185" s="106">
        <f t="shared" ref="H185:H241" si="138">SUM(G185/F185)</f>
        <v>0.30646847094381097</v>
      </c>
      <c r="I185" s="97">
        <f>SUM(I186+I189+I191)</f>
        <v>1319750</v>
      </c>
      <c r="J185" s="101">
        <f>SUM(J186+J189+J191)</f>
        <v>557696</v>
      </c>
      <c r="K185" s="106">
        <f t="shared" ref="K185:K251" si="139">SUM(J185/I185)</f>
        <v>0.42257700322030689</v>
      </c>
      <c r="L185" s="101">
        <f>SUM(L186+L191)</f>
        <v>0</v>
      </c>
      <c r="M185" s="165">
        <f>SUM(M186+M191)</f>
        <v>0</v>
      </c>
      <c r="N185" s="165">
        <f>SUM(N186+N191)</f>
        <v>557696</v>
      </c>
      <c r="O185" s="51">
        <f>SUM(O186+O191)</f>
        <v>0</v>
      </c>
      <c r="P185" s="165">
        <f>SUM(P186+P191)</f>
        <v>0</v>
      </c>
      <c r="Q185" s="101">
        <f>SUM(Q186+Q189+Q191)</f>
        <v>500000</v>
      </c>
      <c r="R185" s="101">
        <f>SUM(R186+R191)</f>
        <v>0</v>
      </c>
      <c r="S185" s="239"/>
      <c r="T185" s="101">
        <f>SUM(T186+T191)</f>
        <v>0</v>
      </c>
      <c r="U185" s="165">
        <f>SUM(U186+U191)</f>
        <v>0</v>
      </c>
      <c r="V185" s="165">
        <f>SUM(V186+V191)</f>
        <v>0</v>
      </c>
      <c r="W185" s="51">
        <f>SUM(W186+W191)</f>
        <v>0</v>
      </c>
      <c r="X185" s="165">
        <f>SUM(X186+X191)</f>
        <v>0</v>
      </c>
    </row>
    <row r="186" spans="1:24" s="5" customFormat="1" hidden="1">
      <c r="A186" s="9"/>
      <c r="B186" s="42"/>
      <c r="C186" s="42">
        <v>85111</v>
      </c>
      <c r="D186" s="75"/>
      <c r="E186" s="90" t="s">
        <v>108</v>
      </c>
      <c r="F186" s="95">
        <f t="shared" si="110"/>
        <v>0</v>
      </c>
      <c r="G186" s="99">
        <f t="shared" si="111"/>
        <v>0</v>
      </c>
      <c r="H186" s="104" t="e">
        <f t="shared" si="138"/>
        <v>#DIV/0!</v>
      </c>
      <c r="I186" s="118">
        <f>SUM(I187:I188)</f>
        <v>0</v>
      </c>
      <c r="J186" s="153">
        <f>SUM(J187:J188)</f>
        <v>0</v>
      </c>
      <c r="K186" s="104"/>
      <c r="L186" s="153">
        <f t="shared" ref="L186:R186" si="140">SUM(L187:L188)</f>
        <v>0</v>
      </c>
      <c r="M186" s="173">
        <f t="shared" si="140"/>
        <v>0</v>
      </c>
      <c r="N186" s="173">
        <f t="shared" si="140"/>
        <v>0</v>
      </c>
      <c r="O186" s="58">
        <f t="shared" si="140"/>
        <v>0</v>
      </c>
      <c r="P186" s="173">
        <f t="shared" si="140"/>
        <v>0</v>
      </c>
      <c r="Q186" s="137">
        <f t="shared" si="140"/>
        <v>0</v>
      </c>
      <c r="R186" s="153">
        <f t="shared" si="140"/>
        <v>0</v>
      </c>
      <c r="S186" s="237" t="e">
        <f t="shared" ref="S186:S188" si="141">SUM(R186/Q186)</f>
        <v>#DIV/0!</v>
      </c>
      <c r="T186" s="153">
        <f>SUM(T187:T188)</f>
        <v>0</v>
      </c>
      <c r="U186" s="173">
        <f>SUM(U187:U188)</f>
        <v>0</v>
      </c>
      <c r="V186" s="173">
        <f>SUM(V187:V188)</f>
        <v>0</v>
      </c>
      <c r="W186" s="58">
        <f>SUM(W187:W188)</f>
        <v>0</v>
      </c>
      <c r="X186" s="173">
        <f>SUM(X187:X188)</f>
        <v>0</v>
      </c>
    </row>
    <row r="187" spans="1:24" s="9" customFormat="1" hidden="1">
      <c r="B187" s="43"/>
      <c r="C187" s="43"/>
      <c r="D187" s="70" t="s">
        <v>18</v>
      </c>
      <c r="E187" s="79" t="s">
        <v>106</v>
      </c>
      <c r="F187" s="96">
        <f t="shared" si="110"/>
        <v>0</v>
      </c>
      <c r="G187" s="100">
        <f t="shared" si="111"/>
        <v>0</v>
      </c>
      <c r="H187" s="105" t="e">
        <f t="shared" si="138"/>
        <v>#DIV/0!</v>
      </c>
      <c r="I187" s="119"/>
      <c r="J187" s="154"/>
      <c r="K187" s="105"/>
      <c r="L187" s="154"/>
      <c r="M187" s="174"/>
      <c r="N187" s="174"/>
      <c r="O187" s="59"/>
      <c r="P187" s="174"/>
      <c r="Q187" s="138"/>
      <c r="R187" s="154"/>
      <c r="S187" s="238" t="e">
        <f t="shared" si="141"/>
        <v>#DIV/0!</v>
      </c>
      <c r="T187" s="154"/>
      <c r="U187" s="174"/>
      <c r="V187" s="174"/>
      <c r="W187" s="59"/>
      <c r="X187" s="174"/>
    </row>
    <row r="188" spans="1:24" s="5" customFormat="1" hidden="1">
      <c r="A188" s="9"/>
      <c r="B188" s="43"/>
      <c r="C188" s="43"/>
      <c r="D188" s="70" t="s">
        <v>19</v>
      </c>
      <c r="E188" s="79" t="s">
        <v>111</v>
      </c>
      <c r="F188" s="96">
        <f t="shared" si="110"/>
        <v>0</v>
      </c>
      <c r="G188" s="100">
        <f t="shared" si="111"/>
        <v>0</v>
      </c>
      <c r="H188" s="105" t="e">
        <f t="shared" si="138"/>
        <v>#DIV/0!</v>
      </c>
      <c r="I188" s="119"/>
      <c r="J188" s="154"/>
      <c r="K188" s="105"/>
      <c r="L188" s="154"/>
      <c r="M188" s="174"/>
      <c r="N188" s="174"/>
      <c r="O188" s="59"/>
      <c r="P188" s="174"/>
      <c r="Q188" s="138"/>
      <c r="R188" s="154"/>
      <c r="S188" s="238" t="e">
        <f t="shared" si="141"/>
        <v>#DIV/0!</v>
      </c>
      <c r="T188" s="154"/>
      <c r="U188" s="174"/>
      <c r="V188" s="174"/>
      <c r="W188" s="59"/>
      <c r="X188" s="174"/>
    </row>
    <row r="189" spans="1:24" s="5" customFormat="1">
      <c r="A189" s="9"/>
      <c r="B189" s="42"/>
      <c r="C189" s="42">
        <v>85141</v>
      </c>
      <c r="D189" s="75"/>
      <c r="E189" s="90" t="s">
        <v>197</v>
      </c>
      <c r="F189" s="95">
        <f t="shared" ref="F189:F190" si="142">SUM(I189+Q189)</f>
        <v>500000</v>
      </c>
      <c r="G189" s="99">
        <f t="shared" ref="G189:G190" si="143">SUM(J189+R189)</f>
        <v>0</v>
      </c>
      <c r="H189" s="104">
        <f t="shared" ref="H189:H190" si="144">SUM(G189/F189)</f>
        <v>0</v>
      </c>
      <c r="I189" s="118">
        <f>SUM(I190:I190)</f>
        <v>0</v>
      </c>
      <c r="J189" s="153">
        <f>SUM(J190:J190)</f>
        <v>0</v>
      </c>
      <c r="K189" s="104"/>
      <c r="L189" s="153">
        <f t="shared" ref="L189:R189" si="145">SUM(L190:L190)</f>
        <v>0</v>
      </c>
      <c r="M189" s="173">
        <f t="shared" si="145"/>
        <v>0</v>
      </c>
      <c r="N189" s="173">
        <f t="shared" si="145"/>
        <v>0</v>
      </c>
      <c r="O189" s="58">
        <f t="shared" si="145"/>
        <v>0</v>
      </c>
      <c r="P189" s="173">
        <f t="shared" si="145"/>
        <v>0</v>
      </c>
      <c r="Q189" s="137">
        <f t="shared" si="145"/>
        <v>500000</v>
      </c>
      <c r="R189" s="153">
        <f t="shared" si="145"/>
        <v>0</v>
      </c>
      <c r="S189" s="237">
        <f t="shared" ref="S189:S190" si="146">SUM(R189/Q189)</f>
        <v>0</v>
      </c>
      <c r="T189" s="153">
        <f>SUM(T190:T190)</f>
        <v>0</v>
      </c>
      <c r="U189" s="173">
        <f>SUM(U190:U190)</f>
        <v>0</v>
      </c>
      <c r="V189" s="173">
        <f>SUM(V190:V190)</f>
        <v>0</v>
      </c>
      <c r="W189" s="58">
        <f>SUM(W190:W190)</f>
        <v>0</v>
      </c>
      <c r="X189" s="173">
        <f>SUM(X190:X190)</f>
        <v>0</v>
      </c>
    </row>
    <row r="190" spans="1:24" s="5" customFormat="1">
      <c r="A190" s="9"/>
      <c r="B190" s="43"/>
      <c r="C190" s="43"/>
      <c r="D190" s="70" t="s">
        <v>37</v>
      </c>
      <c r="E190" s="79" t="s">
        <v>198</v>
      </c>
      <c r="F190" s="96">
        <f t="shared" si="142"/>
        <v>500000</v>
      </c>
      <c r="G190" s="100">
        <f t="shared" si="143"/>
        <v>0</v>
      </c>
      <c r="H190" s="105">
        <f t="shared" si="144"/>
        <v>0</v>
      </c>
      <c r="I190" s="119"/>
      <c r="J190" s="154"/>
      <c r="K190" s="105"/>
      <c r="L190" s="154"/>
      <c r="M190" s="174"/>
      <c r="N190" s="174"/>
      <c r="O190" s="59"/>
      <c r="P190" s="174"/>
      <c r="Q190" s="138">
        <v>500000</v>
      </c>
      <c r="R190" s="154"/>
      <c r="S190" s="238">
        <f t="shared" si="146"/>
        <v>0</v>
      </c>
      <c r="T190" s="154"/>
      <c r="U190" s="174"/>
      <c r="V190" s="174"/>
      <c r="W190" s="59"/>
      <c r="X190" s="174"/>
    </row>
    <row r="191" spans="1:24" s="6" customFormat="1">
      <c r="A191" s="229"/>
      <c r="B191" s="33"/>
      <c r="C191" s="33">
        <v>85156</v>
      </c>
      <c r="D191" s="67"/>
      <c r="E191" s="78" t="s">
        <v>130</v>
      </c>
      <c r="F191" s="95">
        <f t="shared" si="110"/>
        <v>1319750</v>
      </c>
      <c r="G191" s="99">
        <f t="shared" si="111"/>
        <v>557696</v>
      </c>
      <c r="H191" s="104">
        <f t="shared" si="138"/>
        <v>0.42257700322030689</v>
      </c>
      <c r="I191" s="108">
        <f>SUM(I192)</f>
        <v>1319750</v>
      </c>
      <c r="J191" s="143">
        <f t="shared" ref="J191:X191" si="147">SUM(J192)</f>
        <v>557696</v>
      </c>
      <c r="K191" s="104">
        <f t="shared" si="139"/>
        <v>0.42257700322030689</v>
      </c>
      <c r="L191" s="143">
        <f t="shared" si="147"/>
        <v>0</v>
      </c>
      <c r="M191" s="163">
        <f t="shared" si="147"/>
        <v>0</v>
      </c>
      <c r="N191" s="163">
        <f t="shared" si="147"/>
        <v>557696</v>
      </c>
      <c r="O191" s="49">
        <f t="shared" si="147"/>
        <v>0</v>
      </c>
      <c r="P191" s="163">
        <f t="shared" si="147"/>
        <v>0</v>
      </c>
      <c r="Q191" s="126">
        <f t="shared" si="147"/>
        <v>0</v>
      </c>
      <c r="R191" s="143">
        <f t="shared" si="147"/>
        <v>0</v>
      </c>
      <c r="S191" s="237"/>
      <c r="T191" s="143">
        <f t="shared" si="147"/>
        <v>0</v>
      </c>
      <c r="U191" s="163">
        <f t="shared" si="147"/>
        <v>0</v>
      </c>
      <c r="V191" s="163">
        <f t="shared" si="147"/>
        <v>0</v>
      </c>
      <c r="W191" s="49">
        <f t="shared" si="147"/>
        <v>0</v>
      </c>
      <c r="X191" s="163">
        <f t="shared" si="147"/>
        <v>0</v>
      </c>
    </row>
    <row r="192" spans="1:24">
      <c r="B192" s="34"/>
      <c r="C192" s="34"/>
      <c r="D192" s="70" t="s">
        <v>27</v>
      </c>
      <c r="E192" s="82" t="s">
        <v>135</v>
      </c>
      <c r="F192" s="96">
        <f t="shared" si="110"/>
        <v>1319750</v>
      </c>
      <c r="G192" s="100">
        <f t="shared" si="111"/>
        <v>557696</v>
      </c>
      <c r="H192" s="105">
        <f t="shared" si="138"/>
        <v>0.42257700322030689</v>
      </c>
      <c r="I192" s="115">
        <v>1319750</v>
      </c>
      <c r="J192" s="151">
        <v>557696</v>
      </c>
      <c r="K192" s="105">
        <f t="shared" si="139"/>
        <v>0.42257700322030689</v>
      </c>
      <c r="L192" s="147"/>
      <c r="M192" s="164"/>
      <c r="N192" s="201">
        <v>557696</v>
      </c>
      <c r="O192" s="50"/>
      <c r="P192" s="164"/>
      <c r="Q192" s="127"/>
      <c r="R192" s="147"/>
      <c r="S192" s="238"/>
      <c r="T192" s="147"/>
      <c r="U192" s="164"/>
      <c r="V192" s="164"/>
      <c r="W192" s="50"/>
      <c r="X192" s="164"/>
    </row>
    <row r="193" spans="1:24" s="5" customFormat="1">
      <c r="A193" s="9"/>
      <c r="B193" s="36">
        <v>852</v>
      </c>
      <c r="C193" s="36"/>
      <c r="D193" s="71"/>
      <c r="E193" s="81" t="s">
        <v>66</v>
      </c>
      <c r="F193" s="97">
        <f t="shared" si="110"/>
        <v>9012032</v>
      </c>
      <c r="G193" s="101">
        <f t="shared" si="111"/>
        <v>4478138.62</v>
      </c>
      <c r="H193" s="106">
        <f t="shared" si="138"/>
        <v>0.49690664880018182</v>
      </c>
      <c r="I193" s="110">
        <f>SUM(I194+I202+I211+I219+I230+I228+I235)</f>
        <v>8887032</v>
      </c>
      <c r="J193" s="145">
        <f>SUM(J194+J202+J211+J219+J230+J228+J235)</f>
        <v>4478138.62</v>
      </c>
      <c r="K193" s="106">
        <f t="shared" si="139"/>
        <v>0.50389585859486052</v>
      </c>
      <c r="L193" s="145">
        <f t="shared" ref="L193:Q193" si="148">SUM(L194+L202+L211+L219+L230+L228)</f>
        <v>0</v>
      </c>
      <c r="M193" s="145">
        <f t="shared" si="148"/>
        <v>0</v>
      </c>
      <c r="N193" s="166">
        <f t="shared" si="148"/>
        <v>925919</v>
      </c>
      <c r="O193" s="145">
        <f t="shared" si="148"/>
        <v>0</v>
      </c>
      <c r="P193" s="166">
        <f t="shared" si="148"/>
        <v>0</v>
      </c>
      <c r="Q193" s="129">
        <f t="shared" si="148"/>
        <v>125000</v>
      </c>
      <c r="R193" s="235">
        <f t="shared" ref="R193:X193" si="149">SUM(R194+R202+R211+R219+R230+R228)</f>
        <v>0</v>
      </c>
      <c r="S193" s="242">
        <f>SUM(R193/Q193)</f>
        <v>0</v>
      </c>
      <c r="T193" s="247">
        <f t="shared" si="149"/>
        <v>0</v>
      </c>
      <c r="U193" s="248">
        <f t="shared" si="149"/>
        <v>0</v>
      </c>
      <c r="V193" s="129">
        <f t="shared" si="149"/>
        <v>0</v>
      </c>
      <c r="W193" s="129">
        <f t="shared" si="149"/>
        <v>0</v>
      </c>
      <c r="X193" s="129">
        <f t="shared" si="149"/>
        <v>0</v>
      </c>
    </row>
    <row r="194" spans="1:24" s="6" customFormat="1" ht="12" hidden="1" customHeight="1">
      <c r="A194" s="229"/>
      <c r="B194" s="33"/>
      <c r="C194" s="33">
        <v>85201</v>
      </c>
      <c r="D194" s="67"/>
      <c r="E194" s="85" t="s">
        <v>67</v>
      </c>
      <c r="F194" s="95">
        <f t="shared" si="110"/>
        <v>0</v>
      </c>
      <c r="G194" s="99">
        <f t="shared" si="111"/>
        <v>0</v>
      </c>
      <c r="H194" s="104" t="e">
        <f t="shared" si="138"/>
        <v>#DIV/0!</v>
      </c>
      <c r="I194" s="111">
        <f>SUM(I195:I201)</f>
        <v>0</v>
      </c>
      <c r="J194" s="146">
        <f>SUM(J195:J201)</f>
        <v>0</v>
      </c>
      <c r="K194" s="104" t="e">
        <f t="shared" si="139"/>
        <v>#DIV/0!</v>
      </c>
      <c r="L194" s="146">
        <f t="shared" ref="L194:R194" si="150">SUM(L195:L201)</f>
        <v>0</v>
      </c>
      <c r="M194" s="168">
        <f t="shared" si="150"/>
        <v>0</v>
      </c>
      <c r="N194" s="168">
        <f t="shared" si="150"/>
        <v>0</v>
      </c>
      <c r="O194" s="53">
        <f t="shared" si="150"/>
        <v>0</v>
      </c>
      <c r="P194" s="168">
        <f t="shared" si="150"/>
        <v>0</v>
      </c>
      <c r="Q194" s="130">
        <f t="shared" si="150"/>
        <v>0</v>
      </c>
      <c r="R194" s="146">
        <f t="shared" si="150"/>
        <v>0</v>
      </c>
      <c r="S194" s="237"/>
      <c r="T194" s="146">
        <f>SUM(T195:T201)</f>
        <v>0</v>
      </c>
      <c r="U194" s="168">
        <f>SUM(U195:U201)</f>
        <v>0</v>
      </c>
      <c r="V194" s="168">
        <f>SUM(V195:V201)</f>
        <v>0</v>
      </c>
      <c r="W194" s="53">
        <f>SUM(W195:W201)</f>
        <v>0</v>
      </c>
      <c r="X194" s="168">
        <f>SUM(X195:X201)</f>
        <v>0</v>
      </c>
    </row>
    <row r="195" spans="1:24" s="2" customFormat="1" hidden="1">
      <c r="A195" s="230"/>
      <c r="B195" s="44"/>
      <c r="C195" s="44"/>
      <c r="D195" s="199" t="s">
        <v>103</v>
      </c>
      <c r="E195" s="79" t="s">
        <v>152</v>
      </c>
      <c r="F195" s="96">
        <f t="shared" si="110"/>
        <v>0</v>
      </c>
      <c r="G195" s="100">
        <f t="shared" si="111"/>
        <v>0</v>
      </c>
      <c r="H195" s="105" t="e">
        <f t="shared" si="138"/>
        <v>#DIV/0!</v>
      </c>
      <c r="I195" s="120"/>
      <c r="J195" s="155"/>
      <c r="K195" s="105" t="e">
        <f t="shared" si="139"/>
        <v>#DIV/0!</v>
      </c>
      <c r="L195" s="155"/>
      <c r="M195" s="175"/>
      <c r="N195" s="164"/>
      <c r="O195" s="50"/>
      <c r="P195" s="164"/>
      <c r="Q195" s="127"/>
      <c r="R195" s="147"/>
      <c r="S195" s="238"/>
      <c r="T195" s="147"/>
      <c r="U195" s="164"/>
      <c r="V195" s="164"/>
      <c r="W195" s="50"/>
      <c r="X195" s="164"/>
    </row>
    <row r="196" spans="1:24" s="2" customFormat="1" hidden="1">
      <c r="A196" s="230"/>
      <c r="B196" s="44"/>
      <c r="C196" s="44"/>
      <c r="D196" s="199" t="s">
        <v>12</v>
      </c>
      <c r="E196" s="79" t="s">
        <v>13</v>
      </c>
      <c r="F196" s="96">
        <f t="shared" si="110"/>
        <v>0</v>
      </c>
      <c r="G196" s="100">
        <f t="shared" si="111"/>
        <v>0</v>
      </c>
      <c r="H196" s="105" t="e">
        <f t="shared" si="138"/>
        <v>#DIV/0!</v>
      </c>
      <c r="I196" s="120"/>
      <c r="J196" s="155"/>
      <c r="K196" s="105" t="e">
        <f t="shared" si="139"/>
        <v>#DIV/0!</v>
      </c>
      <c r="L196" s="155"/>
      <c r="M196" s="175"/>
      <c r="N196" s="164"/>
      <c r="O196" s="50"/>
      <c r="P196" s="164"/>
      <c r="Q196" s="127"/>
      <c r="R196" s="147"/>
      <c r="S196" s="238"/>
      <c r="T196" s="147"/>
      <c r="U196" s="164"/>
      <c r="V196" s="164"/>
      <c r="W196" s="50"/>
      <c r="X196" s="164"/>
    </row>
    <row r="197" spans="1:24" s="2" customFormat="1" hidden="1">
      <c r="A197" s="230"/>
      <c r="B197" s="44"/>
      <c r="C197" s="44"/>
      <c r="D197" s="199" t="s">
        <v>52</v>
      </c>
      <c r="E197" s="79" t="s">
        <v>53</v>
      </c>
      <c r="F197" s="96">
        <f t="shared" si="110"/>
        <v>0</v>
      </c>
      <c r="G197" s="100">
        <f t="shared" si="111"/>
        <v>0</v>
      </c>
      <c r="H197" s="105" t="e">
        <f t="shared" si="138"/>
        <v>#DIV/0!</v>
      </c>
      <c r="I197" s="120"/>
      <c r="J197" s="155"/>
      <c r="K197" s="105" t="e">
        <f t="shared" si="139"/>
        <v>#DIV/0!</v>
      </c>
      <c r="L197" s="155"/>
      <c r="M197" s="175"/>
      <c r="N197" s="164"/>
      <c r="O197" s="50"/>
      <c r="P197" s="164"/>
      <c r="Q197" s="127"/>
      <c r="R197" s="147"/>
      <c r="S197" s="238"/>
      <c r="T197" s="147"/>
      <c r="U197" s="164"/>
      <c r="V197" s="164"/>
      <c r="W197" s="50"/>
      <c r="X197" s="164"/>
    </row>
    <row r="198" spans="1:24" s="2" customFormat="1" hidden="1">
      <c r="A198" s="230"/>
      <c r="B198" s="44"/>
      <c r="C198" s="44"/>
      <c r="D198" s="199" t="s">
        <v>105</v>
      </c>
      <c r="E198" s="79" t="s">
        <v>109</v>
      </c>
      <c r="F198" s="96">
        <f t="shared" si="110"/>
        <v>0</v>
      </c>
      <c r="G198" s="100">
        <f t="shared" si="111"/>
        <v>0</v>
      </c>
      <c r="H198" s="105"/>
      <c r="I198" s="120"/>
      <c r="J198" s="155"/>
      <c r="K198" s="105"/>
      <c r="L198" s="155"/>
      <c r="M198" s="175"/>
      <c r="N198" s="164"/>
      <c r="O198" s="50"/>
      <c r="P198" s="164"/>
      <c r="Q198" s="127"/>
      <c r="R198" s="147"/>
      <c r="S198" s="238"/>
      <c r="T198" s="147"/>
      <c r="U198" s="164"/>
      <c r="V198" s="164"/>
      <c r="W198" s="50"/>
      <c r="X198" s="164"/>
    </row>
    <row r="199" spans="1:24" s="2" customFormat="1" hidden="1">
      <c r="A199" s="230"/>
      <c r="B199" s="44"/>
      <c r="C199" s="44"/>
      <c r="D199" s="76" t="s">
        <v>29</v>
      </c>
      <c r="E199" s="82" t="s">
        <v>163</v>
      </c>
      <c r="F199" s="96">
        <f t="shared" si="110"/>
        <v>0</v>
      </c>
      <c r="G199" s="100">
        <f t="shared" si="111"/>
        <v>0</v>
      </c>
      <c r="H199" s="105"/>
      <c r="I199" s="120"/>
      <c r="J199" s="155"/>
      <c r="K199" s="105"/>
      <c r="L199" s="147"/>
      <c r="M199" s="164"/>
      <c r="N199" s="164"/>
      <c r="O199" s="50"/>
      <c r="P199" s="164"/>
      <c r="Q199" s="127"/>
      <c r="R199" s="147"/>
      <c r="S199" s="238"/>
      <c r="T199" s="147"/>
      <c r="U199" s="164"/>
      <c r="V199" s="164"/>
      <c r="W199" s="50"/>
      <c r="X199" s="164"/>
    </row>
    <row r="200" spans="1:24" s="2" customFormat="1" hidden="1">
      <c r="A200" s="230"/>
      <c r="B200" s="44"/>
      <c r="C200" s="44"/>
      <c r="D200" s="76" t="s">
        <v>16</v>
      </c>
      <c r="E200" s="82" t="s">
        <v>168</v>
      </c>
      <c r="F200" s="96">
        <f t="shared" si="110"/>
        <v>0</v>
      </c>
      <c r="G200" s="100">
        <f t="shared" si="111"/>
        <v>0</v>
      </c>
      <c r="H200" s="105" t="e">
        <f t="shared" si="138"/>
        <v>#DIV/0!</v>
      </c>
      <c r="I200" s="120"/>
      <c r="J200" s="155"/>
      <c r="K200" s="105" t="e">
        <f t="shared" si="139"/>
        <v>#DIV/0!</v>
      </c>
      <c r="L200" s="147"/>
      <c r="M200" s="164"/>
      <c r="N200" s="164"/>
      <c r="O200" s="50"/>
      <c r="P200" s="164"/>
      <c r="Q200" s="127"/>
      <c r="R200" s="147"/>
      <c r="S200" s="238"/>
      <c r="T200" s="147"/>
      <c r="U200" s="164"/>
      <c r="V200" s="164"/>
      <c r="W200" s="50"/>
      <c r="X200" s="164"/>
    </row>
    <row r="201" spans="1:24" s="2" customFormat="1" hidden="1">
      <c r="A201" s="230"/>
      <c r="B201" s="44"/>
      <c r="C201" s="44"/>
      <c r="D201" s="76" t="s">
        <v>7</v>
      </c>
      <c r="E201" s="82" t="s">
        <v>8</v>
      </c>
      <c r="F201" s="96">
        <f t="shared" ref="F201:F252" si="151">SUM(I201+Q201)</f>
        <v>0</v>
      </c>
      <c r="G201" s="100">
        <f t="shared" ref="G201:G252" si="152">SUM(J201+R201)</f>
        <v>0</v>
      </c>
      <c r="H201" s="105" t="e">
        <f t="shared" si="138"/>
        <v>#DIV/0!</v>
      </c>
      <c r="I201" s="120"/>
      <c r="J201" s="155"/>
      <c r="K201" s="105" t="e">
        <f t="shared" si="139"/>
        <v>#DIV/0!</v>
      </c>
      <c r="L201" s="147"/>
      <c r="M201" s="164"/>
      <c r="N201" s="164"/>
      <c r="O201" s="50"/>
      <c r="P201" s="164"/>
      <c r="Q201" s="127"/>
      <c r="R201" s="147"/>
      <c r="S201" s="238"/>
      <c r="T201" s="147"/>
      <c r="U201" s="164"/>
      <c r="V201" s="164"/>
      <c r="W201" s="50"/>
      <c r="X201" s="164"/>
    </row>
    <row r="202" spans="1:24" s="6" customFormat="1">
      <c r="A202" s="229"/>
      <c r="B202" s="33"/>
      <c r="C202" s="33">
        <v>85202</v>
      </c>
      <c r="D202" s="67"/>
      <c r="E202" s="78" t="s">
        <v>68</v>
      </c>
      <c r="F202" s="95">
        <f t="shared" si="151"/>
        <v>6820043</v>
      </c>
      <c r="G202" s="99">
        <f t="shared" si="152"/>
        <v>3453621.35</v>
      </c>
      <c r="H202" s="104">
        <f t="shared" si="138"/>
        <v>0.50639289957555988</v>
      </c>
      <c r="I202" s="111">
        <f>SUM(I203:I210)</f>
        <v>6820043</v>
      </c>
      <c r="J202" s="146">
        <f>SUM(J203:J210)</f>
        <v>3453621.35</v>
      </c>
      <c r="K202" s="104">
        <f t="shared" si="139"/>
        <v>0.50639289957555988</v>
      </c>
      <c r="L202" s="146">
        <f t="shared" ref="L202:R202" si="153">SUM(L203:L210)</f>
        <v>0</v>
      </c>
      <c r="M202" s="168">
        <f t="shared" si="153"/>
        <v>0</v>
      </c>
      <c r="N202" s="168">
        <f t="shared" si="153"/>
        <v>0</v>
      </c>
      <c r="O202" s="53">
        <f t="shared" si="153"/>
        <v>0</v>
      </c>
      <c r="P202" s="168">
        <f t="shared" si="153"/>
        <v>0</v>
      </c>
      <c r="Q202" s="130">
        <f t="shared" si="153"/>
        <v>0</v>
      </c>
      <c r="R202" s="146">
        <f t="shared" si="153"/>
        <v>0</v>
      </c>
      <c r="S202" s="237" t="e">
        <f>SUM(R202/Q202)</f>
        <v>#DIV/0!</v>
      </c>
      <c r="T202" s="146">
        <f>SUM(T203:T210)</f>
        <v>0</v>
      </c>
      <c r="U202" s="168">
        <f>SUM(U203:U210)</f>
        <v>0</v>
      </c>
      <c r="V202" s="168">
        <f>SUM(V203:V210)</f>
        <v>0</v>
      </c>
      <c r="W202" s="53">
        <f>SUM(W203:W210)</f>
        <v>0</v>
      </c>
      <c r="X202" s="168">
        <f>SUM(X203:X210)</f>
        <v>0</v>
      </c>
    </row>
    <row r="203" spans="1:24" s="2" customFormat="1" hidden="1">
      <c r="A203" s="230"/>
      <c r="B203" s="34"/>
      <c r="C203" s="34"/>
      <c r="D203" s="70" t="s">
        <v>32</v>
      </c>
      <c r="E203" s="82" t="s">
        <v>172</v>
      </c>
      <c r="F203" s="96">
        <f t="shared" si="151"/>
        <v>0</v>
      </c>
      <c r="G203" s="100">
        <f t="shared" si="152"/>
        <v>0</v>
      </c>
      <c r="H203" s="105" t="e">
        <f t="shared" si="138"/>
        <v>#DIV/0!</v>
      </c>
      <c r="I203" s="113"/>
      <c r="J203" s="144"/>
      <c r="K203" s="105" t="e">
        <f t="shared" si="139"/>
        <v>#DIV/0!</v>
      </c>
      <c r="L203" s="147"/>
      <c r="M203" s="164"/>
      <c r="N203" s="164"/>
      <c r="O203" s="50"/>
      <c r="P203" s="164"/>
      <c r="Q203" s="127"/>
      <c r="R203" s="147"/>
      <c r="S203" s="238"/>
      <c r="T203" s="147"/>
      <c r="U203" s="164"/>
      <c r="V203" s="164"/>
      <c r="W203" s="50"/>
      <c r="X203" s="164"/>
    </row>
    <row r="204" spans="1:24">
      <c r="B204" s="34"/>
      <c r="C204" s="34"/>
      <c r="D204" s="70" t="s">
        <v>52</v>
      </c>
      <c r="E204" s="79" t="s">
        <v>53</v>
      </c>
      <c r="F204" s="96">
        <f t="shared" si="151"/>
        <v>5175746</v>
      </c>
      <c r="G204" s="100">
        <f t="shared" si="152"/>
        <v>2633260.96</v>
      </c>
      <c r="H204" s="105">
        <f t="shared" si="138"/>
        <v>0.50876935614692065</v>
      </c>
      <c r="I204" s="109">
        <f>2582430+2593316</f>
        <v>5175746</v>
      </c>
      <c r="J204" s="155">
        <f>1295975.97+1337284.99</f>
        <v>2633260.96</v>
      </c>
      <c r="K204" s="105">
        <f t="shared" si="139"/>
        <v>0.50876935614692065</v>
      </c>
      <c r="L204" s="147"/>
      <c r="M204" s="164"/>
      <c r="N204" s="164"/>
      <c r="O204" s="50"/>
      <c r="P204" s="164"/>
      <c r="Q204" s="127"/>
      <c r="R204" s="147"/>
      <c r="S204" s="238"/>
      <c r="T204" s="147"/>
      <c r="U204" s="164"/>
      <c r="V204" s="164"/>
      <c r="W204" s="50"/>
      <c r="X204" s="164"/>
    </row>
    <row r="205" spans="1:24" hidden="1">
      <c r="B205" s="34"/>
      <c r="C205" s="34"/>
      <c r="D205" s="72" t="s">
        <v>61</v>
      </c>
      <c r="E205" s="79" t="s">
        <v>62</v>
      </c>
      <c r="F205" s="96">
        <f t="shared" si="151"/>
        <v>0</v>
      </c>
      <c r="G205" s="100">
        <f t="shared" si="152"/>
        <v>0</v>
      </c>
      <c r="H205" s="105"/>
      <c r="I205" s="109"/>
      <c r="J205" s="155"/>
      <c r="K205" s="105"/>
      <c r="L205" s="147"/>
      <c r="M205" s="164"/>
      <c r="N205" s="164"/>
      <c r="O205" s="50"/>
      <c r="P205" s="164"/>
      <c r="Q205" s="127">
        <v>0</v>
      </c>
      <c r="R205" s="147"/>
      <c r="S205" s="238"/>
      <c r="T205" s="147"/>
      <c r="U205" s="164"/>
      <c r="V205" s="164"/>
      <c r="W205" s="50"/>
      <c r="X205" s="164"/>
    </row>
    <row r="206" spans="1:24">
      <c r="B206" s="34"/>
      <c r="C206" s="34"/>
      <c r="D206" s="70" t="s">
        <v>29</v>
      </c>
      <c r="E206" s="82" t="s">
        <v>163</v>
      </c>
      <c r="F206" s="96">
        <f t="shared" si="151"/>
        <v>755</v>
      </c>
      <c r="G206" s="100">
        <f>SUM(J206+R206)</f>
        <v>486.90999999999997</v>
      </c>
      <c r="H206" s="105">
        <f>SUM(G206/F206)</f>
        <v>0.64491390728476816</v>
      </c>
      <c r="I206" s="109">
        <f>131+624</f>
        <v>755</v>
      </c>
      <c r="J206" s="149">
        <f>220.33+266.58</f>
        <v>486.90999999999997</v>
      </c>
      <c r="K206" s="105">
        <f t="shared" si="139"/>
        <v>0.64491390728476816</v>
      </c>
      <c r="L206" s="147"/>
      <c r="M206" s="164"/>
      <c r="N206" s="164"/>
      <c r="O206" s="50"/>
      <c r="P206" s="164"/>
      <c r="Q206" s="127"/>
      <c r="R206" s="147"/>
      <c r="S206" s="238"/>
      <c r="T206" s="147"/>
      <c r="U206" s="164"/>
      <c r="V206" s="164"/>
      <c r="W206" s="50"/>
      <c r="X206" s="164"/>
    </row>
    <row r="207" spans="1:24" hidden="1">
      <c r="B207" s="34"/>
      <c r="C207" s="34"/>
      <c r="D207" s="72" t="s">
        <v>16</v>
      </c>
      <c r="E207" s="82" t="s">
        <v>168</v>
      </c>
      <c r="F207" s="96">
        <f t="shared" si="151"/>
        <v>0</v>
      </c>
      <c r="G207" s="100">
        <f>SUM(J207+R207)</f>
        <v>0</v>
      </c>
      <c r="H207" s="105" t="e">
        <f>SUM(G207/F207)</f>
        <v>#DIV/0!</v>
      </c>
      <c r="I207" s="109"/>
      <c r="J207" s="149"/>
      <c r="K207" s="105" t="e">
        <f t="shared" si="139"/>
        <v>#DIV/0!</v>
      </c>
      <c r="L207" s="147"/>
      <c r="M207" s="164"/>
      <c r="N207" s="164"/>
      <c r="O207" s="50"/>
      <c r="P207" s="164"/>
      <c r="Q207" s="127"/>
      <c r="R207" s="147"/>
      <c r="S207" s="238"/>
      <c r="T207" s="147"/>
      <c r="U207" s="164"/>
      <c r="V207" s="164"/>
      <c r="W207" s="50"/>
      <c r="X207" s="164"/>
    </row>
    <row r="208" spans="1:24">
      <c r="B208" s="34"/>
      <c r="C208" s="34"/>
      <c r="D208" s="70" t="s">
        <v>7</v>
      </c>
      <c r="E208" s="79" t="s">
        <v>8</v>
      </c>
      <c r="F208" s="96">
        <f t="shared" si="151"/>
        <v>17530</v>
      </c>
      <c r="G208" s="100">
        <f t="shared" si="152"/>
        <v>20817.48</v>
      </c>
      <c r="H208" s="105">
        <f t="shared" si="138"/>
        <v>1.187534512264689</v>
      </c>
      <c r="I208" s="109">
        <f>747+16783</f>
        <v>17530</v>
      </c>
      <c r="J208" s="149">
        <f>1115.04+19702.44</f>
        <v>20817.48</v>
      </c>
      <c r="K208" s="105">
        <f t="shared" si="139"/>
        <v>1.187534512264689</v>
      </c>
      <c r="L208" s="147"/>
      <c r="M208" s="164"/>
      <c r="N208" s="164"/>
      <c r="O208" s="50"/>
      <c r="P208" s="164"/>
      <c r="Q208" s="127"/>
      <c r="R208" s="147"/>
      <c r="S208" s="238"/>
      <c r="T208" s="147"/>
      <c r="U208" s="164"/>
      <c r="V208" s="164"/>
      <c r="W208" s="50"/>
      <c r="X208" s="164"/>
    </row>
    <row r="209" spans="1:24">
      <c r="B209" s="34"/>
      <c r="C209" s="34"/>
      <c r="D209" s="70" t="s">
        <v>54</v>
      </c>
      <c r="E209" s="79" t="s">
        <v>146</v>
      </c>
      <c r="F209" s="96">
        <f t="shared" si="151"/>
        <v>1626012</v>
      </c>
      <c r="G209" s="100">
        <f t="shared" si="152"/>
        <v>799056</v>
      </c>
      <c r="H209" s="105">
        <f t="shared" si="138"/>
        <v>0.49142072752230609</v>
      </c>
      <c r="I209" s="109">
        <v>1626012</v>
      </c>
      <c r="J209" s="149">
        <v>799056</v>
      </c>
      <c r="K209" s="105">
        <f t="shared" si="139"/>
        <v>0.49142072752230609</v>
      </c>
      <c r="L209" s="147"/>
      <c r="M209" s="164"/>
      <c r="N209" s="164"/>
      <c r="O209" s="50"/>
      <c r="P209" s="164"/>
      <c r="Q209" s="127"/>
      <c r="R209" s="147"/>
      <c r="S209" s="238"/>
      <c r="T209" s="147"/>
      <c r="U209" s="164"/>
      <c r="V209" s="164"/>
      <c r="W209" s="50"/>
      <c r="X209" s="164"/>
    </row>
    <row r="210" spans="1:24" hidden="1">
      <c r="B210" s="34"/>
      <c r="C210" s="34"/>
      <c r="D210" s="70" t="s">
        <v>114</v>
      </c>
      <c r="E210" s="82" t="s">
        <v>135</v>
      </c>
      <c r="F210" s="96">
        <f t="shared" si="151"/>
        <v>0</v>
      </c>
      <c r="G210" s="100">
        <f t="shared" si="152"/>
        <v>0</v>
      </c>
      <c r="H210" s="105" t="e">
        <f t="shared" si="138"/>
        <v>#DIV/0!</v>
      </c>
      <c r="I210" s="109"/>
      <c r="J210" s="149"/>
      <c r="K210" s="105"/>
      <c r="L210" s="147"/>
      <c r="M210" s="164"/>
      <c r="N210" s="164"/>
      <c r="O210" s="50"/>
      <c r="P210" s="164"/>
      <c r="Q210" s="127"/>
      <c r="R210" s="147">
        <v>0</v>
      </c>
      <c r="S210" s="238" t="e">
        <f>SUM(R210/Q210)</f>
        <v>#DIV/0!</v>
      </c>
      <c r="T210" s="147"/>
      <c r="U210" s="164"/>
      <c r="V210" s="164"/>
      <c r="W210" s="50"/>
      <c r="X210" s="164"/>
    </row>
    <row r="211" spans="1:24" s="6" customFormat="1">
      <c r="A211" s="229"/>
      <c r="B211" s="33"/>
      <c r="C211" s="33">
        <v>85203</v>
      </c>
      <c r="D211" s="67"/>
      <c r="E211" s="85" t="s">
        <v>69</v>
      </c>
      <c r="F211" s="95">
        <f t="shared" si="151"/>
        <v>1947985</v>
      </c>
      <c r="G211" s="99">
        <f>SUM(J211+R211)</f>
        <v>926888.93</v>
      </c>
      <c r="H211" s="104">
        <f t="shared" si="138"/>
        <v>0.475819336391194</v>
      </c>
      <c r="I211" s="108">
        <f>SUM(I212:I227)</f>
        <v>1822985</v>
      </c>
      <c r="J211" s="143">
        <f>SUM(J212:J218)</f>
        <v>926888.93</v>
      </c>
      <c r="K211" s="104">
        <f t="shared" si="139"/>
        <v>0.50844572500596552</v>
      </c>
      <c r="L211" s="143">
        <f t="shared" ref="L211:O211" si="154">SUM(L212:L215)</f>
        <v>0</v>
      </c>
      <c r="M211" s="163">
        <f t="shared" si="154"/>
        <v>0</v>
      </c>
      <c r="N211" s="163">
        <f t="shared" si="154"/>
        <v>925919</v>
      </c>
      <c r="O211" s="49">
        <f t="shared" si="154"/>
        <v>0</v>
      </c>
      <c r="P211" s="163">
        <f>SUM(P212:P218)</f>
        <v>0</v>
      </c>
      <c r="Q211" s="163">
        <f>SUM(Q212:Q218)</f>
        <v>125000</v>
      </c>
      <c r="R211" s="143">
        <f>SUM(R212:R216)</f>
        <v>0</v>
      </c>
      <c r="S211" s="237"/>
      <c r="T211" s="143">
        <f>SUM(T212:T215)</f>
        <v>0</v>
      </c>
      <c r="U211" s="163">
        <f>SUM(U212:U215)</f>
        <v>0</v>
      </c>
      <c r="V211" s="163">
        <f>SUM(V212:V216)</f>
        <v>0</v>
      </c>
      <c r="W211" s="49">
        <f>SUM(W212:W215)</f>
        <v>0</v>
      </c>
      <c r="X211" s="163">
        <f>SUM(X212:X215)</f>
        <v>0</v>
      </c>
    </row>
    <row r="212" spans="1:24">
      <c r="B212" s="34"/>
      <c r="C212" s="34"/>
      <c r="D212" s="70" t="s">
        <v>29</v>
      </c>
      <c r="E212" s="82" t="s">
        <v>163</v>
      </c>
      <c r="F212" s="96">
        <f t="shared" si="151"/>
        <v>0</v>
      </c>
      <c r="G212" s="100">
        <f t="shared" si="152"/>
        <v>309.92</v>
      </c>
      <c r="H212" s="105"/>
      <c r="I212" s="109">
        <v>0</v>
      </c>
      <c r="J212" s="149">
        <f>85.66+114.45+109.81</f>
        <v>309.92</v>
      </c>
      <c r="K212" s="105"/>
      <c r="L212" s="147"/>
      <c r="M212" s="164"/>
      <c r="N212" s="164"/>
      <c r="O212" s="50"/>
      <c r="P212" s="164"/>
      <c r="Q212" s="127"/>
      <c r="R212" s="147"/>
      <c r="S212" s="238"/>
      <c r="T212" s="147"/>
      <c r="U212" s="164"/>
      <c r="V212" s="164"/>
      <c r="W212" s="50"/>
      <c r="X212" s="164"/>
    </row>
    <row r="213" spans="1:24" hidden="1">
      <c r="B213" s="34"/>
      <c r="C213" s="34"/>
      <c r="D213" s="70" t="s">
        <v>7</v>
      </c>
      <c r="E213" s="82" t="s">
        <v>8</v>
      </c>
      <c r="F213" s="96">
        <f t="shared" si="151"/>
        <v>0</v>
      </c>
      <c r="G213" s="100">
        <f t="shared" si="152"/>
        <v>0</v>
      </c>
      <c r="H213" s="105"/>
      <c r="I213" s="109"/>
      <c r="J213" s="149"/>
      <c r="K213" s="105"/>
      <c r="L213" s="147"/>
      <c r="M213" s="164"/>
      <c r="N213" s="164"/>
      <c r="O213" s="50"/>
      <c r="P213" s="164"/>
      <c r="Q213" s="127"/>
      <c r="R213" s="147"/>
      <c r="S213" s="238"/>
      <c r="T213" s="147"/>
      <c r="U213" s="164"/>
      <c r="V213" s="164"/>
      <c r="W213" s="50"/>
      <c r="X213" s="164"/>
    </row>
    <row r="214" spans="1:24">
      <c r="B214" s="34"/>
      <c r="C214" s="34"/>
      <c r="D214" s="70" t="s">
        <v>27</v>
      </c>
      <c r="E214" s="82" t="s">
        <v>146</v>
      </c>
      <c r="F214" s="96">
        <f t="shared" si="151"/>
        <v>1821972</v>
      </c>
      <c r="G214" s="100">
        <f t="shared" si="152"/>
        <v>925919</v>
      </c>
      <c r="H214" s="105">
        <f t="shared" si="138"/>
        <v>0.50819606448397669</v>
      </c>
      <c r="I214" s="109">
        <v>1821972</v>
      </c>
      <c r="J214" s="151">
        <v>925919</v>
      </c>
      <c r="K214" s="105">
        <f t="shared" si="139"/>
        <v>0.50819606448397669</v>
      </c>
      <c r="L214" s="147"/>
      <c r="M214" s="176"/>
      <c r="N214" s="201">
        <v>925919</v>
      </c>
      <c r="O214" s="50"/>
      <c r="P214" s="164"/>
      <c r="Q214" s="127"/>
      <c r="R214" s="147"/>
      <c r="S214" s="238"/>
      <c r="T214" s="147"/>
      <c r="U214" s="164"/>
      <c r="V214" s="164"/>
      <c r="W214" s="50"/>
      <c r="X214" s="164"/>
    </row>
    <row r="215" spans="1:24">
      <c r="B215" s="34"/>
      <c r="C215" s="34"/>
      <c r="D215" s="70" t="s">
        <v>25</v>
      </c>
      <c r="E215" s="82" t="s">
        <v>133</v>
      </c>
      <c r="F215" s="96">
        <f t="shared" si="151"/>
        <v>1013</v>
      </c>
      <c r="G215" s="100">
        <f t="shared" si="152"/>
        <v>660.01</v>
      </c>
      <c r="H215" s="105">
        <f t="shared" si="138"/>
        <v>0.65153998025666338</v>
      </c>
      <c r="I215" s="109">
        <v>1013</v>
      </c>
      <c r="J215" s="149">
        <f>646.17+13.84</f>
        <v>660.01</v>
      </c>
      <c r="K215" s="105">
        <f t="shared" si="139"/>
        <v>0.65153998025666338</v>
      </c>
      <c r="L215" s="147"/>
      <c r="M215" s="164"/>
      <c r="N215" s="164"/>
      <c r="O215" s="50"/>
      <c r="P215" s="164"/>
      <c r="Q215" s="127"/>
      <c r="R215" s="147"/>
      <c r="S215" s="238"/>
      <c r="T215" s="147"/>
      <c r="U215" s="164"/>
      <c r="V215" s="164"/>
      <c r="W215" s="50"/>
      <c r="X215" s="164"/>
    </row>
    <row r="216" spans="1:24" hidden="1">
      <c r="B216" s="34"/>
      <c r="C216" s="34"/>
      <c r="D216" s="70" t="s">
        <v>182</v>
      </c>
      <c r="E216" s="82" t="s">
        <v>183</v>
      </c>
      <c r="F216" s="96">
        <f t="shared" si="151"/>
        <v>0</v>
      </c>
      <c r="G216" s="100">
        <f t="shared" si="152"/>
        <v>0</v>
      </c>
      <c r="H216" s="105" t="e">
        <f t="shared" si="138"/>
        <v>#DIV/0!</v>
      </c>
      <c r="I216" s="109"/>
      <c r="J216" s="149"/>
      <c r="K216" s="105"/>
      <c r="L216" s="147"/>
      <c r="M216" s="164"/>
      <c r="N216" s="164"/>
      <c r="O216" s="50"/>
      <c r="P216" s="164"/>
      <c r="Q216" s="127"/>
      <c r="R216" s="147"/>
      <c r="S216" s="238"/>
      <c r="T216" s="147"/>
      <c r="U216" s="164"/>
      <c r="V216" s="164"/>
      <c r="W216" s="50"/>
      <c r="X216" s="164"/>
    </row>
    <row r="217" spans="1:24">
      <c r="B217" s="34"/>
      <c r="C217" s="34"/>
      <c r="D217" s="70" t="s">
        <v>102</v>
      </c>
      <c r="E217" s="79" t="s">
        <v>140</v>
      </c>
      <c r="F217" s="96">
        <f t="shared" ref="F217:F218" si="155">SUM(I217+Q217)</f>
        <v>80000</v>
      </c>
      <c r="G217" s="100">
        <f t="shared" ref="G217:G218" si="156">SUM(J217+R217)</f>
        <v>0</v>
      </c>
      <c r="H217" s="105">
        <f t="shared" ref="H217:H218" si="157">SUM(G217/F217)</f>
        <v>0</v>
      </c>
      <c r="I217" s="109"/>
      <c r="J217" s="149"/>
      <c r="K217" s="105"/>
      <c r="L217" s="147"/>
      <c r="M217" s="164"/>
      <c r="N217" s="164"/>
      <c r="O217" s="50"/>
      <c r="P217" s="164"/>
      <c r="Q217" s="127">
        <v>80000</v>
      </c>
      <c r="R217" s="147"/>
      <c r="S217" s="238"/>
      <c r="T217" s="147"/>
      <c r="U217" s="164"/>
      <c r="V217" s="164"/>
      <c r="W217" s="50"/>
      <c r="X217" s="164"/>
    </row>
    <row r="218" spans="1:24">
      <c r="B218" s="34"/>
      <c r="C218" s="34"/>
      <c r="D218" s="70" t="s">
        <v>37</v>
      </c>
      <c r="E218" s="82" t="s">
        <v>135</v>
      </c>
      <c r="F218" s="96">
        <f t="shared" si="155"/>
        <v>45000</v>
      </c>
      <c r="G218" s="100">
        <f t="shared" si="156"/>
        <v>0</v>
      </c>
      <c r="H218" s="105">
        <f t="shared" si="157"/>
        <v>0</v>
      </c>
      <c r="I218" s="109"/>
      <c r="J218" s="149"/>
      <c r="K218" s="105"/>
      <c r="L218" s="147"/>
      <c r="M218" s="164"/>
      <c r="N218" s="164"/>
      <c r="O218" s="50"/>
      <c r="P218" s="164"/>
      <c r="Q218" s="127">
        <v>45000</v>
      </c>
      <c r="R218" s="147"/>
      <c r="S218" s="238"/>
      <c r="T218" s="147"/>
      <c r="U218" s="164"/>
      <c r="V218" s="164"/>
      <c r="W218" s="50"/>
      <c r="X218" s="164"/>
    </row>
    <row r="219" spans="1:24" s="6" customFormat="1" hidden="1">
      <c r="A219" s="229"/>
      <c r="B219" s="33"/>
      <c r="C219" s="33">
        <v>85204</v>
      </c>
      <c r="D219" s="67"/>
      <c r="E219" s="78" t="s">
        <v>70</v>
      </c>
      <c r="F219" s="95">
        <f t="shared" si="151"/>
        <v>0</v>
      </c>
      <c r="G219" s="99">
        <f t="shared" si="152"/>
        <v>0</v>
      </c>
      <c r="H219" s="104" t="e">
        <f t="shared" si="138"/>
        <v>#DIV/0!</v>
      </c>
      <c r="I219" s="121">
        <f>SUM(I220:I227)</f>
        <v>0</v>
      </c>
      <c r="J219" s="156">
        <f>SUM(J220:J227)</f>
        <v>0</v>
      </c>
      <c r="K219" s="104" t="e">
        <f t="shared" si="139"/>
        <v>#DIV/0!</v>
      </c>
      <c r="L219" s="156">
        <f t="shared" ref="L219:R219" si="158">SUM(L220:L227)</f>
        <v>0</v>
      </c>
      <c r="M219" s="177">
        <f t="shared" si="158"/>
        <v>0</v>
      </c>
      <c r="N219" s="177">
        <f t="shared" si="158"/>
        <v>0</v>
      </c>
      <c r="O219" s="60">
        <f t="shared" si="158"/>
        <v>0</v>
      </c>
      <c r="P219" s="177">
        <f t="shared" si="158"/>
        <v>0</v>
      </c>
      <c r="Q219" s="139">
        <f t="shared" si="158"/>
        <v>0</v>
      </c>
      <c r="R219" s="156">
        <f t="shared" si="158"/>
        <v>0</v>
      </c>
      <c r="S219" s="237"/>
      <c r="T219" s="156">
        <f>SUM(T220:T227)</f>
        <v>0</v>
      </c>
      <c r="U219" s="177">
        <f>SUM(U220:U227)</f>
        <v>0</v>
      </c>
      <c r="V219" s="177">
        <f>SUM(V220:V227)</f>
        <v>0</v>
      </c>
      <c r="W219" s="60">
        <f>SUM(W220:W227)</f>
        <v>0</v>
      </c>
      <c r="X219" s="177">
        <f>SUM(X220:X227)</f>
        <v>0</v>
      </c>
    </row>
    <row r="220" spans="1:24" s="2" customFormat="1" hidden="1">
      <c r="A220" s="230"/>
      <c r="B220" s="34"/>
      <c r="C220" s="34"/>
      <c r="D220" s="70" t="s">
        <v>103</v>
      </c>
      <c r="E220" s="79" t="s">
        <v>152</v>
      </c>
      <c r="F220" s="96">
        <f t="shared" si="151"/>
        <v>0</v>
      </c>
      <c r="G220" s="100">
        <f t="shared" si="152"/>
        <v>0</v>
      </c>
      <c r="H220" s="105" t="e">
        <f t="shared" si="138"/>
        <v>#DIV/0!</v>
      </c>
      <c r="I220" s="122"/>
      <c r="J220" s="157"/>
      <c r="K220" s="105" t="e">
        <f t="shared" si="139"/>
        <v>#DIV/0!</v>
      </c>
      <c r="L220" s="147"/>
      <c r="M220" s="164"/>
      <c r="N220" s="164"/>
      <c r="O220" s="50"/>
      <c r="P220" s="164"/>
      <c r="Q220" s="127"/>
      <c r="R220" s="147"/>
      <c r="S220" s="238"/>
      <c r="T220" s="147"/>
      <c r="U220" s="164"/>
      <c r="V220" s="164"/>
      <c r="W220" s="50"/>
      <c r="X220" s="164"/>
    </row>
    <row r="221" spans="1:24" s="2" customFormat="1" hidden="1">
      <c r="A221" s="230"/>
      <c r="B221" s="34"/>
      <c r="C221" s="34"/>
      <c r="D221" s="70" t="s">
        <v>12</v>
      </c>
      <c r="E221" s="79" t="s">
        <v>13</v>
      </c>
      <c r="F221" s="96">
        <f t="shared" si="151"/>
        <v>0</v>
      </c>
      <c r="G221" s="100">
        <f t="shared" si="152"/>
        <v>0</v>
      </c>
      <c r="H221" s="105" t="e">
        <f t="shared" si="138"/>
        <v>#DIV/0!</v>
      </c>
      <c r="I221" s="122"/>
      <c r="J221" s="157"/>
      <c r="K221" s="105" t="e">
        <f t="shared" si="139"/>
        <v>#DIV/0!</v>
      </c>
      <c r="L221" s="147"/>
      <c r="M221" s="178"/>
      <c r="N221" s="164"/>
      <c r="O221" s="50"/>
      <c r="P221" s="164"/>
      <c r="Q221" s="127"/>
      <c r="R221" s="147"/>
      <c r="S221" s="238"/>
      <c r="T221" s="147"/>
      <c r="U221" s="164"/>
      <c r="V221" s="164"/>
      <c r="W221" s="50"/>
      <c r="X221" s="164"/>
    </row>
    <row r="222" spans="1:24" s="2" customFormat="1" ht="12" hidden="1" customHeight="1">
      <c r="A222" s="230"/>
      <c r="B222" s="34"/>
      <c r="C222" s="34"/>
      <c r="D222" s="72" t="s">
        <v>52</v>
      </c>
      <c r="E222" s="79" t="s">
        <v>53</v>
      </c>
      <c r="F222" s="96">
        <f t="shared" si="151"/>
        <v>0</v>
      </c>
      <c r="G222" s="100">
        <f t="shared" si="152"/>
        <v>0</v>
      </c>
      <c r="H222" s="105" t="e">
        <f t="shared" si="138"/>
        <v>#DIV/0!</v>
      </c>
      <c r="I222" s="122"/>
      <c r="J222" s="157"/>
      <c r="K222" s="105" t="e">
        <f t="shared" si="139"/>
        <v>#DIV/0!</v>
      </c>
      <c r="L222" s="147"/>
      <c r="M222" s="164"/>
      <c r="N222" s="164"/>
      <c r="O222" s="50"/>
      <c r="P222" s="164"/>
      <c r="Q222" s="127"/>
      <c r="R222" s="147"/>
      <c r="S222" s="238"/>
      <c r="T222" s="147"/>
      <c r="U222" s="164"/>
      <c r="V222" s="164"/>
      <c r="W222" s="50"/>
      <c r="X222" s="164"/>
    </row>
    <row r="223" spans="1:24" s="2" customFormat="1" ht="12" hidden="1" customHeight="1">
      <c r="A223" s="230"/>
      <c r="B223" s="34"/>
      <c r="C223" s="34"/>
      <c r="D223" s="72" t="s">
        <v>105</v>
      </c>
      <c r="E223" s="79" t="s">
        <v>171</v>
      </c>
      <c r="F223" s="96">
        <f t="shared" si="151"/>
        <v>0</v>
      </c>
      <c r="G223" s="100">
        <f t="shared" si="152"/>
        <v>0</v>
      </c>
      <c r="H223" s="105" t="e">
        <f t="shared" si="138"/>
        <v>#DIV/0!</v>
      </c>
      <c r="I223" s="122"/>
      <c r="J223" s="157"/>
      <c r="K223" s="105" t="e">
        <f t="shared" si="139"/>
        <v>#DIV/0!</v>
      </c>
      <c r="L223" s="147"/>
      <c r="M223" s="164"/>
      <c r="N223" s="164"/>
      <c r="O223" s="50"/>
      <c r="P223" s="164"/>
      <c r="Q223" s="127"/>
      <c r="R223" s="147"/>
      <c r="S223" s="238"/>
      <c r="T223" s="147"/>
      <c r="U223" s="164"/>
      <c r="V223" s="164"/>
      <c r="W223" s="50"/>
      <c r="X223" s="164"/>
    </row>
    <row r="224" spans="1:24" s="2" customFormat="1" ht="12" hidden="1" customHeight="1">
      <c r="A224" s="230"/>
      <c r="B224" s="34"/>
      <c r="C224" s="34"/>
      <c r="D224" s="72" t="s">
        <v>16</v>
      </c>
      <c r="E224" s="79" t="s">
        <v>168</v>
      </c>
      <c r="F224" s="96">
        <f t="shared" si="151"/>
        <v>0</v>
      </c>
      <c r="G224" s="100">
        <f t="shared" si="152"/>
        <v>0</v>
      </c>
      <c r="H224" s="105" t="e">
        <f t="shared" si="138"/>
        <v>#DIV/0!</v>
      </c>
      <c r="I224" s="122"/>
      <c r="J224" s="157"/>
      <c r="K224" s="105" t="e">
        <f t="shared" si="139"/>
        <v>#DIV/0!</v>
      </c>
      <c r="L224" s="147"/>
      <c r="M224" s="164"/>
      <c r="N224" s="164"/>
      <c r="O224" s="50"/>
      <c r="P224" s="164"/>
      <c r="Q224" s="127"/>
      <c r="R224" s="147"/>
      <c r="S224" s="238"/>
      <c r="T224" s="147"/>
      <c r="U224" s="164"/>
      <c r="V224" s="164"/>
      <c r="W224" s="50"/>
      <c r="X224" s="164"/>
    </row>
    <row r="225" spans="1:24" s="2" customFormat="1" ht="12" hidden="1" customHeight="1">
      <c r="A225" s="230"/>
      <c r="B225" s="34"/>
      <c r="C225" s="34"/>
      <c r="D225" s="72" t="s">
        <v>156</v>
      </c>
      <c r="E225" s="79" t="s">
        <v>106</v>
      </c>
      <c r="F225" s="96">
        <f t="shared" si="151"/>
        <v>0</v>
      </c>
      <c r="G225" s="100">
        <f t="shared" si="152"/>
        <v>0</v>
      </c>
      <c r="H225" s="105" t="e">
        <f t="shared" si="138"/>
        <v>#DIV/0!</v>
      </c>
      <c r="I225" s="122"/>
      <c r="J225" s="157"/>
      <c r="K225" s="105" t="e">
        <f t="shared" si="139"/>
        <v>#DIV/0!</v>
      </c>
      <c r="L225" s="147"/>
      <c r="M225" s="164"/>
      <c r="N225" s="164"/>
      <c r="O225" s="50"/>
      <c r="P225" s="164"/>
      <c r="Q225" s="127"/>
      <c r="R225" s="147"/>
      <c r="S225" s="238"/>
      <c r="T225" s="147"/>
      <c r="U225" s="164"/>
      <c r="V225" s="164"/>
      <c r="W225" s="50"/>
      <c r="X225" s="164"/>
    </row>
    <row r="226" spans="1:24" hidden="1">
      <c r="B226" s="34"/>
      <c r="C226" s="34"/>
      <c r="D226" s="70" t="s">
        <v>54</v>
      </c>
      <c r="E226" s="79" t="s">
        <v>135</v>
      </c>
      <c r="F226" s="96">
        <f t="shared" si="151"/>
        <v>0</v>
      </c>
      <c r="G226" s="100">
        <f t="shared" si="152"/>
        <v>0</v>
      </c>
      <c r="H226" s="105" t="e">
        <f t="shared" si="138"/>
        <v>#DIV/0!</v>
      </c>
      <c r="I226" s="122"/>
      <c r="J226" s="158"/>
      <c r="K226" s="105" t="e">
        <f t="shared" si="139"/>
        <v>#DIV/0!</v>
      </c>
      <c r="L226" s="147"/>
      <c r="M226" s="164"/>
      <c r="N226" s="164"/>
      <c r="O226" s="50"/>
      <c r="P226" s="164"/>
      <c r="Q226" s="127"/>
      <c r="R226" s="147"/>
      <c r="S226" s="238"/>
      <c r="T226" s="147"/>
      <c r="U226" s="164"/>
      <c r="V226" s="164"/>
      <c r="W226" s="50"/>
      <c r="X226" s="164"/>
    </row>
    <row r="227" spans="1:24" hidden="1">
      <c r="B227" s="34"/>
      <c r="C227" s="34"/>
      <c r="D227" s="70" t="s">
        <v>162</v>
      </c>
      <c r="E227" s="79" t="s">
        <v>146</v>
      </c>
      <c r="F227" s="96">
        <f t="shared" si="151"/>
        <v>0</v>
      </c>
      <c r="G227" s="100">
        <f t="shared" si="152"/>
        <v>0</v>
      </c>
      <c r="H227" s="105" t="e">
        <f t="shared" si="138"/>
        <v>#DIV/0!</v>
      </c>
      <c r="I227" s="122"/>
      <c r="J227" s="158"/>
      <c r="K227" s="105" t="e">
        <f t="shared" si="139"/>
        <v>#DIV/0!</v>
      </c>
      <c r="L227" s="147"/>
      <c r="M227" s="164"/>
      <c r="N227" s="164"/>
      <c r="O227" s="50"/>
      <c r="P227" s="203"/>
      <c r="Q227" s="127"/>
      <c r="R227" s="147"/>
      <c r="S227" s="238"/>
      <c r="T227" s="147"/>
      <c r="U227" s="164"/>
      <c r="V227" s="164"/>
      <c r="W227" s="50"/>
      <c r="X227" s="164"/>
    </row>
    <row r="228" spans="1:24">
      <c r="B228" s="45"/>
      <c r="C228" s="45">
        <v>85205</v>
      </c>
      <c r="D228" s="73"/>
      <c r="E228" s="91" t="s">
        <v>155</v>
      </c>
      <c r="F228" s="95">
        <f>SUM(I228+Q228)</f>
        <v>3384</v>
      </c>
      <c r="G228" s="99">
        <f>SUM(J228+R228)</f>
        <v>0</v>
      </c>
      <c r="H228" s="104">
        <f t="shared" si="138"/>
        <v>0</v>
      </c>
      <c r="I228" s="116">
        <f>SUM(I229)</f>
        <v>3384</v>
      </c>
      <c r="J228" s="150">
        <f>SUM(J229)</f>
        <v>0</v>
      </c>
      <c r="K228" s="104">
        <f>SUM(J228/I228)</f>
        <v>0</v>
      </c>
      <c r="L228" s="161">
        <f>SUM(L229)</f>
        <v>0</v>
      </c>
      <c r="M228" s="161">
        <f t="shared" ref="M228:P228" si="159">SUM(M229)</f>
        <v>0</v>
      </c>
      <c r="N228" s="179">
        <f t="shared" si="159"/>
        <v>0</v>
      </c>
      <c r="O228" s="161">
        <f t="shared" si="159"/>
        <v>0</v>
      </c>
      <c r="P228" s="179">
        <f t="shared" si="159"/>
        <v>0</v>
      </c>
      <c r="Q228" s="140">
        <f>SUM(Q229)</f>
        <v>0</v>
      </c>
      <c r="R228" s="161">
        <f>SUM(R229)</f>
        <v>0</v>
      </c>
      <c r="S228" s="237"/>
      <c r="T228" s="161"/>
      <c r="U228" s="179"/>
      <c r="V228" s="179"/>
      <c r="W228" s="61"/>
      <c r="X228" s="179"/>
    </row>
    <row r="229" spans="1:24">
      <c r="B229" s="34"/>
      <c r="C229" s="34"/>
      <c r="D229" s="70" t="s">
        <v>27</v>
      </c>
      <c r="E229" s="82" t="s">
        <v>146</v>
      </c>
      <c r="F229" s="96">
        <f>SUM(I229+Q229)</f>
        <v>3384</v>
      </c>
      <c r="G229" s="100">
        <f>SUM(J229+R229)</f>
        <v>0</v>
      </c>
      <c r="H229" s="105">
        <f t="shared" si="138"/>
        <v>0</v>
      </c>
      <c r="I229" s="109">
        <v>3384</v>
      </c>
      <c r="J229" s="151"/>
      <c r="K229" s="105">
        <f>SUM(J229/I229)</f>
        <v>0</v>
      </c>
      <c r="L229" s="147"/>
      <c r="M229" s="164"/>
      <c r="N229" s="164"/>
      <c r="O229" s="50"/>
      <c r="P229" s="201"/>
      <c r="Q229" s="127"/>
      <c r="R229" s="147"/>
      <c r="S229" s="238"/>
      <c r="T229" s="147"/>
      <c r="U229" s="164"/>
      <c r="V229" s="164"/>
      <c r="W229" s="50"/>
      <c r="X229" s="164"/>
    </row>
    <row r="230" spans="1:24" s="6" customFormat="1">
      <c r="A230" s="229"/>
      <c r="B230" s="33"/>
      <c r="C230" s="33">
        <v>85218</v>
      </c>
      <c r="D230" s="67"/>
      <c r="E230" s="85" t="s">
        <v>71</v>
      </c>
      <c r="F230" s="95">
        <f t="shared" si="151"/>
        <v>240620</v>
      </c>
      <c r="G230" s="99">
        <f t="shared" si="152"/>
        <v>97628.34</v>
      </c>
      <c r="H230" s="104">
        <f t="shared" si="138"/>
        <v>0.40573659712409604</v>
      </c>
      <c r="I230" s="108">
        <f>SUM(I231:I234)</f>
        <v>240620</v>
      </c>
      <c r="J230" s="143">
        <f>SUM(J231:J234)</f>
        <v>97628.34</v>
      </c>
      <c r="K230" s="104">
        <f t="shared" si="139"/>
        <v>0.40573659712409604</v>
      </c>
      <c r="L230" s="143">
        <f t="shared" ref="L230:R230" si="160">SUM(L231:L234)</f>
        <v>0</v>
      </c>
      <c r="M230" s="163">
        <f t="shared" si="160"/>
        <v>0</v>
      </c>
      <c r="N230" s="163">
        <f t="shared" si="160"/>
        <v>0</v>
      </c>
      <c r="O230" s="49">
        <f t="shared" si="160"/>
        <v>0</v>
      </c>
      <c r="P230" s="163">
        <f t="shared" si="160"/>
        <v>0</v>
      </c>
      <c r="Q230" s="126">
        <f t="shared" si="160"/>
        <v>0</v>
      </c>
      <c r="R230" s="143">
        <f t="shared" si="160"/>
        <v>0</v>
      </c>
      <c r="S230" s="237"/>
      <c r="T230" s="143">
        <f>SUM(T231:T234)</f>
        <v>0</v>
      </c>
      <c r="U230" s="163">
        <f>SUM(U231:U234)</f>
        <v>0</v>
      </c>
      <c r="V230" s="163">
        <f>SUM(V231:V234)</f>
        <v>0</v>
      </c>
      <c r="W230" s="49">
        <f>SUM(W231:W234)</f>
        <v>0</v>
      </c>
      <c r="X230" s="163">
        <f>SUM(X231:X234)</f>
        <v>0</v>
      </c>
    </row>
    <row r="231" spans="1:24">
      <c r="B231" s="34"/>
      <c r="C231" s="34"/>
      <c r="D231" s="70" t="s">
        <v>52</v>
      </c>
      <c r="E231" s="82" t="s">
        <v>53</v>
      </c>
      <c r="F231" s="96">
        <f t="shared" si="151"/>
        <v>190200</v>
      </c>
      <c r="G231" s="100">
        <f t="shared" si="152"/>
        <v>74700</v>
      </c>
      <c r="H231" s="105">
        <f t="shared" si="138"/>
        <v>0.39274447949526814</v>
      </c>
      <c r="I231" s="115">
        <v>190200</v>
      </c>
      <c r="J231" s="151">
        <v>74700</v>
      </c>
      <c r="K231" s="105">
        <f t="shared" si="139"/>
        <v>0.39274447949526814</v>
      </c>
      <c r="L231" s="147"/>
      <c r="M231" s="164"/>
      <c r="N231" s="164"/>
      <c r="O231" s="50"/>
      <c r="P231" s="164"/>
      <c r="Q231" s="127"/>
      <c r="R231" s="147"/>
      <c r="S231" s="238"/>
      <c r="T231" s="147"/>
      <c r="U231" s="164"/>
      <c r="V231" s="164"/>
      <c r="W231" s="50"/>
      <c r="X231" s="164"/>
    </row>
    <row r="232" spans="1:24">
      <c r="B232" s="34"/>
      <c r="C232" s="34"/>
      <c r="D232" s="70" t="s">
        <v>29</v>
      </c>
      <c r="E232" s="82" t="s">
        <v>163</v>
      </c>
      <c r="F232" s="96">
        <f t="shared" si="151"/>
        <v>360</v>
      </c>
      <c r="G232" s="100">
        <f t="shared" si="152"/>
        <v>180.73</v>
      </c>
      <c r="H232" s="105">
        <f t="shared" si="138"/>
        <v>0.50202777777777774</v>
      </c>
      <c r="I232" s="115">
        <v>360</v>
      </c>
      <c r="J232" s="151">
        <v>180.73</v>
      </c>
      <c r="K232" s="105">
        <f t="shared" si="139"/>
        <v>0.50202777777777774</v>
      </c>
      <c r="L232" s="147"/>
      <c r="M232" s="164"/>
      <c r="N232" s="164"/>
      <c r="O232" s="50"/>
      <c r="P232" s="164"/>
      <c r="Q232" s="127"/>
      <c r="R232" s="147"/>
      <c r="S232" s="238"/>
      <c r="T232" s="147"/>
      <c r="U232" s="164"/>
      <c r="V232" s="164"/>
      <c r="W232" s="50"/>
      <c r="X232" s="164"/>
    </row>
    <row r="233" spans="1:24">
      <c r="B233" s="34"/>
      <c r="C233" s="34"/>
      <c r="D233" s="70" t="s">
        <v>7</v>
      </c>
      <c r="E233" s="82" t="s">
        <v>8</v>
      </c>
      <c r="F233" s="96">
        <f t="shared" si="151"/>
        <v>50060</v>
      </c>
      <c r="G233" s="100">
        <f t="shared" si="152"/>
        <v>22747.61</v>
      </c>
      <c r="H233" s="105">
        <f t="shared" si="138"/>
        <v>0.45440691170595288</v>
      </c>
      <c r="I233" s="115">
        <v>50060</v>
      </c>
      <c r="J233" s="151">
        <v>22747.61</v>
      </c>
      <c r="K233" s="105">
        <f t="shared" si="139"/>
        <v>0.45440691170595288</v>
      </c>
      <c r="L233" s="147"/>
      <c r="M233" s="164"/>
      <c r="N233" s="164"/>
      <c r="O233" s="50"/>
      <c r="P233" s="164"/>
      <c r="Q233" s="127"/>
      <c r="R233" s="147"/>
      <c r="S233" s="238"/>
      <c r="T233" s="147"/>
      <c r="U233" s="164"/>
      <c r="V233" s="164"/>
      <c r="W233" s="50"/>
      <c r="X233" s="164"/>
    </row>
    <row r="234" spans="1:24" hidden="1">
      <c r="B234" s="34"/>
      <c r="C234" s="34"/>
      <c r="D234" s="70" t="s">
        <v>156</v>
      </c>
      <c r="E234" s="79" t="s">
        <v>106</v>
      </c>
      <c r="F234" s="96">
        <f t="shared" si="151"/>
        <v>0</v>
      </c>
      <c r="G234" s="100">
        <f t="shared" si="152"/>
        <v>0</v>
      </c>
      <c r="H234" s="105" t="e">
        <f t="shared" si="138"/>
        <v>#DIV/0!</v>
      </c>
      <c r="I234" s="115"/>
      <c r="J234" s="151"/>
      <c r="K234" s="105" t="e">
        <f t="shared" si="139"/>
        <v>#DIV/0!</v>
      </c>
      <c r="L234" s="151"/>
      <c r="M234" s="164"/>
      <c r="N234" s="164"/>
      <c r="O234" s="50"/>
      <c r="P234" s="164"/>
      <c r="Q234" s="127"/>
      <c r="R234" s="147"/>
      <c r="S234" s="238"/>
      <c r="T234" s="147"/>
      <c r="U234" s="164"/>
      <c r="V234" s="164"/>
      <c r="W234" s="50"/>
      <c r="X234" s="164"/>
    </row>
    <row r="235" spans="1:24" hidden="1">
      <c r="B235" s="33"/>
      <c r="C235" s="33">
        <v>85295</v>
      </c>
      <c r="D235" s="67"/>
      <c r="E235" s="85" t="s">
        <v>64</v>
      </c>
      <c r="F235" s="95">
        <f t="shared" ref="F235:F236" si="161">SUM(I235+Q235)</f>
        <v>0</v>
      </c>
      <c r="G235" s="99">
        <f t="shared" ref="G235:G236" si="162">SUM(J235+R235)</f>
        <v>0</v>
      </c>
      <c r="H235" s="104" t="e">
        <f t="shared" ref="H235:H236" si="163">SUM(G235/F235)</f>
        <v>#DIV/0!</v>
      </c>
      <c r="I235" s="108">
        <f>SUM(I236)</f>
        <v>0</v>
      </c>
      <c r="J235" s="143">
        <f>SUM(J236)</f>
        <v>0</v>
      </c>
      <c r="K235" s="104" t="e">
        <f t="shared" ref="K235:K236" si="164">SUM(J235/I235)</f>
        <v>#DIV/0!</v>
      </c>
      <c r="L235" s="143">
        <f>SUM(L236)</f>
        <v>0</v>
      </c>
      <c r="M235" s="143">
        <f t="shared" ref="M235:R235" si="165">SUM(M236)</f>
        <v>0</v>
      </c>
      <c r="N235" s="143">
        <f t="shared" si="165"/>
        <v>0</v>
      </c>
      <c r="O235" s="143">
        <f t="shared" si="165"/>
        <v>0</v>
      </c>
      <c r="P235" s="143">
        <f t="shared" si="165"/>
        <v>0</v>
      </c>
      <c r="Q235" s="143">
        <f t="shared" si="165"/>
        <v>0</v>
      </c>
      <c r="R235" s="143">
        <f t="shared" si="165"/>
        <v>0</v>
      </c>
      <c r="S235" s="237"/>
      <c r="T235" s="143">
        <f>SUM(T236:T239)</f>
        <v>5620.5</v>
      </c>
      <c r="U235" s="163">
        <f>SUM(U236:U239)</f>
        <v>0</v>
      </c>
      <c r="V235" s="163">
        <f>SUM(V236:V239)</f>
        <v>0</v>
      </c>
      <c r="W235" s="49">
        <f>SUM(W236:W239)</f>
        <v>0</v>
      </c>
      <c r="X235" s="163">
        <f>SUM(X236:X239)</f>
        <v>0</v>
      </c>
    </row>
    <row r="236" spans="1:24" hidden="1">
      <c r="B236" s="34"/>
      <c r="C236" s="34"/>
      <c r="D236" s="72" t="s">
        <v>7</v>
      </c>
      <c r="E236" s="82" t="s">
        <v>8</v>
      </c>
      <c r="F236" s="96">
        <f t="shared" si="161"/>
        <v>0</v>
      </c>
      <c r="G236" s="100">
        <f t="shared" si="162"/>
        <v>0</v>
      </c>
      <c r="H236" s="105" t="e">
        <f t="shared" si="163"/>
        <v>#DIV/0!</v>
      </c>
      <c r="I236" s="115"/>
      <c r="J236" s="151"/>
      <c r="K236" s="105" t="e">
        <f t="shared" si="164"/>
        <v>#DIV/0!</v>
      </c>
      <c r="L236" s="147"/>
      <c r="M236" s="164"/>
      <c r="N236" s="164"/>
      <c r="O236" s="50"/>
      <c r="P236" s="164"/>
      <c r="Q236" s="127"/>
      <c r="R236" s="147"/>
      <c r="S236" s="238"/>
      <c r="T236" s="147"/>
      <c r="U236" s="164"/>
      <c r="V236" s="164"/>
      <c r="W236" s="50"/>
      <c r="X236" s="164"/>
    </row>
    <row r="237" spans="1:24" s="5" customFormat="1">
      <c r="A237" s="9"/>
      <c r="B237" s="36">
        <v>853</v>
      </c>
      <c r="C237" s="36"/>
      <c r="D237" s="71"/>
      <c r="E237" s="81" t="s">
        <v>151</v>
      </c>
      <c r="F237" s="97">
        <f t="shared" ref="F237:G237" si="166">SUM(I237+Q237)</f>
        <v>1409247</v>
      </c>
      <c r="G237" s="101">
        <f t="shared" si="166"/>
        <v>408248.79</v>
      </c>
      <c r="H237" s="101">
        <f>SUM(H238+H241+H243+H247+H252)</f>
        <v>1.6257039371711273</v>
      </c>
      <c r="I237" s="97">
        <f>SUM(I238+I241+I243+I247+I252)</f>
        <v>1030337</v>
      </c>
      <c r="J237" s="101">
        <f>SUM(J238+J241+J243+J247+J252)</f>
        <v>402628.29</v>
      </c>
      <c r="K237" s="106">
        <f t="shared" si="139"/>
        <v>0.39077339744180783</v>
      </c>
      <c r="L237" s="101">
        <f t="shared" ref="L237:R237" si="167">SUM(L238+L241+L243+L247+L252)</f>
        <v>56952.58</v>
      </c>
      <c r="M237" s="101">
        <f t="shared" si="167"/>
        <v>0</v>
      </c>
      <c r="N237" s="101">
        <f t="shared" si="167"/>
        <v>99523</v>
      </c>
      <c r="O237" s="101">
        <f t="shared" si="167"/>
        <v>0</v>
      </c>
      <c r="P237" s="101">
        <f t="shared" si="167"/>
        <v>0</v>
      </c>
      <c r="Q237" s="101">
        <f t="shared" si="167"/>
        <v>378910</v>
      </c>
      <c r="R237" s="101">
        <f t="shared" si="167"/>
        <v>5620.5</v>
      </c>
      <c r="S237" s="243">
        <f>SUM(R237/Q237)</f>
        <v>1.483333773191523E-2</v>
      </c>
      <c r="T237" s="101">
        <f>SUM(T238+T241+T243+T247+T252)</f>
        <v>5620.5</v>
      </c>
      <c r="U237" s="165">
        <f>SUM(U238+U241+U243+U247+U252)</f>
        <v>0</v>
      </c>
      <c r="V237" s="101">
        <f>SUM(V238+V241+V243+V247+V252)</f>
        <v>0</v>
      </c>
      <c r="W237" s="101">
        <f>SUM(W238+W241+W243+W247+W252)</f>
        <v>0</v>
      </c>
      <c r="X237" s="101">
        <f>SUM(X238+X241+X243+X247+X252)</f>
        <v>0</v>
      </c>
    </row>
    <row r="238" spans="1:24" s="6" customFormat="1">
      <c r="A238" s="229"/>
      <c r="B238" s="33"/>
      <c r="C238" s="33">
        <v>85321</v>
      </c>
      <c r="D238" s="67"/>
      <c r="E238" s="78" t="s">
        <v>72</v>
      </c>
      <c r="F238" s="95">
        <f t="shared" si="151"/>
        <v>179130</v>
      </c>
      <c r="G238" s="99">
        <f t="shared" si="152"/>
        <v>99588.1</v>
      </c>
      <c r="H238" s="104">
        <f t="shared" si="138"/>
        <v>0.55595433484061862</v>
      </c>
      <c r="I238" s="108">
        <f>SUM(I239:I240)</f>
        <v>179130</v>
      </c>
      <c r="J238" s="143">
        <f t="shared" ref="J238:X238" si="168">SUM(J239:J240)</f>
        <v>99588.1</v>
      </c>
      <c r="K238" s="104">
        <f t="shared" si="139"/>
        <v>0.55595433484061862</v>
      </c>
      <c r="L238" s="143">
        <f t="shared" si="168"/>
        <v>0</v>
      </c>
      <c r="M238" s="163">
        <f t="shared" si="168"/>
        <v>0</v>
      </c>
      <c r="N238" s="163">
        <f t="shared" si="168"/>
        <v>99523</v>
      </c>
      <c r="O238" s="49">
        <f t="shared" si="168"/>
        <v>0</v>
      </c>
      <c r="P238" s="163">
        <f t="shared" si="168"/>
        <v>0</v>
      </c>
      <c r="Q238" s="126">
        <f t="shared" si="168"/>
        <v>0</v>
      </c>
      <c r="R238" s="143">
        <f t="shared" si="168"/>
        <v>0</v>
      </c>
      <c r="S238" s="237"/>
      <c r="T238" s="143">
        <f t="shared" si="168"/>
        <v>0</v>
      </c>
      <c r="U238" s="163">
        <f t="shared" si="168"/>
        <v>0</v>
      </c>
      <c r="V238" s="163">
        <f t="shared" si="168"/>
        <v>0</v>
      </c>
      <c r="W238" s="49">
        <f t="shared" si="168"/>
        <v>0</v>
      </c>
      <c r="X238" s="163">
        <f t="shared" si="168"/>
        <v>0</v>
      </c>
    </row>
    <row r="239" spans="1:24">
      <c r="B239" s="34"/>
      <c r="C239" s="34"/>
      <c r="D239" s="70" t="s">
        <v>27</v>
      </c>
      <c r="E239" s="82" t="s">
        <v>146</v>
      </c>
      <c r="F239" s="96">
        <f t="shared" si="151"/>
        <v>179008</v>
      </c>
      <c r="G239" s="100">
        <f t="shared" si="152"/>
        <v>99523</v>
      </c>
      <c r="H239" s="105">
        <f t="shared" si="138"/>
        <v>0.55596956560600641</v>
      </c>
      <c r="I239" s="109">
        <v>179008</v>
      </c>
      <c r="J239" s="149">
        <v>99523</v>
      </c>
      <c r="K239" s="105">
        <f t="shared" si="139"/>
        <v>0.55596956560600641</v>
      </c>
      <c r="L239" s="147"/>
      <c r="M239" s="164"/>
      <c r="N239" s="170">
        <v>99523</v>
      </c>
      <c r="O239" s="50"/>
      <c r="P239" s="164"/>
      <c r="Q239" s="127"/>
      <c r="R239" s="147"/>
      <c r="S239" s="238"/>
      <c r="T239" s="147"/>
      <c r="U239" s="164"/>
      <c r="V239" s="164"/>
      <c r="W239" s="50"/>
      <c r="X239" s="164"/>
    </row>
    <row r="240" spans="1:24">
      <c r="B240" s="34"/>
      <c r="C240" s="34"/>
      <c r="D240" s="70" t="s">
        <v>25</v>
      </c>
      <c r="E240" s="82" t="s">
        <v>139</v>
      </c>
      <c r="F240" s="96">
        <f t="shared" si="151"/>
        <v>122</v>
      </c>
      <c r="G240" s="100">
        <f t="shared" si="152"/>
        <v>65.099999999999994</v>
      </c>
      <c r="H240" s="105">
        <f>SUM(G240/F240)</f>
        <v>0.5336065573770491</v>
      </c>
      <c r="I240" s="109">
        <v>122</v>
      </c>
      <c r="J240" s="149">
        <v>65.099999999999994</v>
      </c>
      <c r="K240" s="105">
        <f>SUM(J240/I240)</f>
        <v>0.5336065573770491</v>
      </c>
      <c r="L240" s="147"/>
      <c r="M240" s="164"/>
      <c r="N240" s="170"/>
      <c r="O240" s="50"/>
      <c r="P240" s="164"/>
      <c r="Q240" s="127"/>
      <c r="R240" s="147"/>
      <c r="S240" s="238"/>
      <c r="T240" s="147"/>
      <c r="U240" s="164"/>
      <c r="V240" s="164"/>
      <c r="W240" s="50"/>
      <c r="X240" s="164"/>
    </row>
    <row r="241" spans="1:24" s="6" customFormat="1">
      <c r="A241" s="229"/>
      <c r="B241" s="33"/>
      <c r="C241" s="33">
        <v>85322</v>
      </c>
      <c r="D241" s="67"/>
      <c r="E241" s="85" t="s">
        <v>73</v>
      </c>
      <c r="F241" s="95">
        <f t="shared" si="151"/>
        <v>398615</v>
      </c>
      <c r="G241" s="99">
        <f t="shared" si="152"/>
        <v>156000</v>
      </c>
      <c r="H241" s="104">
        <f t="shared" si="138"/>
        <v>0.39135506691920774</v>
      </c>
      <c r="I241" s="108">
        <f>SUM(I242)</f>
        <v>398615</v>
      </c>
      <c r="J241" s="143">
        <f t="shared" ref="J241:X241" si="169">SUM(J242)</f>
        <v>156000</v>
      </c>
      <c r="K241" s="104">
        <f t="shared" si="139"/>
        <v>0.39135506691920774</v>
      </c>
      <c r="L241" s="143">
        <f t="shared" si="169"/>
        <v>0</v>
      </c>
      <c r="M241" s="163">
        <f t="shared" si="169"/>
        <v>0</v>
      </c>
      <c r="N241" s="163">
        <f t="shared" si="169"/>
        <v>0</v>
      </c>
      <c r="O241" s="49">
        <f t="shared" si="169"/>
        <v>0</v>
      </c>
      <c r="P241" s="163">
        <f t="shared" si="169"/>
        <v>0</v>
      </c>
      <c r="Q241" s="126">
        <f t="shared" si="169"/>
        <v>0</v>
      </c>
      <c r="R241" s="143">
        <f t="shared" si="169"/>
        <v>0</v>
      </c>
      <c r="S241" s="237"/>
      <c r="T241" s="143">
        <f t="shared" si="169"/>
        <v>0</v>
      </c>
      <c r="U241" s="163">
        <f t="shared" si="169"/>
        <v>0</v>
      </c>
      <c r="V241" s="163">
        <f t="shared" si="169"/>
        <v>0</v>
      </c>
      <c r="W241" s="49">
        <f t="shared" si="169"/>
        <v>0</v>
      </c>
      <c r="X241" s="163">
        <f t="shared" si="169"/>
        <v>0</v>
      </c>
    </row>
    <row r="242" spans="1:24">
      <c r="B242" s="34"/>
      <c r="C242" s="34"/>
      <c r="D242" s="70" t="s">
        <v>74</v>
      </c>
      <c r="E242" s="82" t="s">
        <v>149</v>
      </c>
      <c r="F242" s="96">
        <f t="shared" si="151"/>
        <v>398615</v>
      </c>
      <c r="G242" s="100">
        <f t="shared" si="152"/>
        <v>156000</v>
      </c>
      <c r="H242" s="105">
        <f t="shared" ref="H242:H307" si="170">SUM(G242/F242)</f>
        <v>0.39135506691920774</v>
      </c>
      <c r="I242" s="109">
        <v>398615</v>
      </c>
      <c r="J242" s="149">
        <v>156000</v>
      </c>
      <c r="K242" s="105">
        <f t="shared" si="139"/>
        <v>0.39135506691920774</v>
      </c>
      <c r="L242" s="147"/>
      <c r="M242" s="164"/>
      <c r="N242" s="164"/>
      <c r="O242" s="50"/>
      <c r="P242" s="164"/>
      <c r="Q242" s="127"/>
      <c r="R242" s="147"/>
      <c r="S242" s="238"/>
      <c r="T242" s="147"/>
      <c r="U242" s="164"/>
      <c r="V242" s="164"/>
      <c r="W242" s="50"/>
      <c r="X242" s="164"/>
    </row>
    <row r="243" spans="1:24" s="6" customFormat="1">
      <c r="A243" s="229"/>
      <c r="B243" s="33"/>
      <c r="C243" s="33">
        <v>85324</v>
      </c>
      <c r="D243" s="67"/>
      <c r="E243" s="78" t="s">
        <v>150</v>
      </c>
      <c r="F243" s="95">
        <f t="shared" si="151"/>
        <v>266636</v>
      </c>
      <c r="G243" s="99">
        <f t="shared" si="152"/>
        <v>24523.510000000002</v>
      </c>
      <c r="H243" s="104">
        <f t="shared" si="170"/>
        <v>9.1973739480040215E-2</v>
      </c>
      <c r="I243" s="108">
        <f>SUM(I244:I246)</f>
        <v>38745</v>
      </c>
      <c r="J243" s="143">
        <f>SUM(J244:J246)</f>
        <v>24411.010000000002</v>
      </c>
      <c r="K243" s="104">
        <f t="shared" si="139"/>
        <v>0.63004284423796619</v>
      </c>
      <c r="L243" s="143">
        <f t="shared" ref="L243:X243" si="171">SUM(L244)</f>
        <v>0</v>
      </c>
      <c r="M243" s="163">
        <f t="shared" si="171"/>
        <v>0</v>
      </c>
      <c r="N243" s="163">
        <f t="shared" si="171"/>
        <v>0</v>
      </c>
      <c r="O243" s="49">
        <f t="shared" si="171"/>
        <v>0</v>
      </c>
      <c r="P243" s="163">
        <f t="shared" si="171"/>
        <v>0</v>
      </c>
      <c r="Q243" s="108">
        <f>SUM(Q244:Q246)</f>
        <v>227891</v>
      </c>
      <c r="R243" s="143">
        <f t="shared" ref="R243:T243" si="172">SUM(R244:R246)</f>
        <v>112.5</v>
      </c>
      <c r="S243" s="272">
        <f t="shared" si="172"/>
        <v>4.9365705534663504E-4</v>
      </c>
      <c r="T243" s="143">
        <f t="shared" si="172"/>
        <v>112.5</v>
      </c>
      <c r="U243" s="163">
        <f t="shared" si="171"/>
        <v>0</v>
      </c>
      <c r="V243" s="163">
        <f t="shared" si="171"/>
        <v>0</v>
      </c>
      <c r="W243" s="49">
        <f t="shared" si="171"/>
        <v>0</v>
      </c>
      <c r="X243" s="163">
        <f t="shared" si="171"/>
        <v>0</v>
      </c>
    </row>
    <row r="244" spans="1:24">
      <c r="B244" s="34"/>
      <c r="C244" s="34"/>
      <c r="D244" s="70" t="s">
        <v>7</v>
      </c>
      <c r="E244" s="82" t="s">
        <v>75</v>
      </c>
      <c r="F244" s="96">
        <f t="shared" si="151"/>
        <v>32670</v>
      </c>
      <c r="G244" s="100">
        <f t="shared" si="152"/>
        <v>22895.760000000002</v>
      </c>
      <c r="H244" s="105">
        <f t="shared" si="170"/>
        <v>0.70081910009182746</v>
      </c>
      <c r="I244" s="109">
        <f>18000+14670</f>
        <v>32670</v>
      </c>
      <c r="J244" s="149">
        <f>16507.18+6388.58</f>
        <v>22895.760000000002</v>
      </c>
      <c r="K244" s="105">
        <f t="shared" si="139"/>
        <v>0.70081910009182746</v>
      </c>
      <c r="L244" s="147"/>
      <c r="M244" s="164"/>
      <c r="N244" s="164"/>
      <c r="O244" s="50"/>
      <c r="P244" s="164"/>
      <c r="Q244" s="127"/>
      <c r="R244" s="147"/>
      <c r="S244" s="238"/>
      <c r="T244" s="147"/>
      <c r="U244" s="164"/>
      <c r="V244" s="164"/>
      <c r="W244" s="50"/>
      <c r="X244" s="164"/>
    </row>
    <row r="245" spans="1:24">
      <c r="B245" s="34"/>
      <c r="C245" s="34"/>
      <c r="D245" s="70" t="s">
        <v>199</v>
      </c>
      <c r="E245" s="252" t="s">
        <v>200</v>
      </c>
      <c r="F245" s="96">
        <f t="shared" ref="F245:F246" si="173">SUM(I245+Q245)</f>
        <v>6075</v>
      </c>
      <c r="G245" s="100">
        <f t="shared" ref="G245:G246" si="174">SUM(J245+R245)</f>
        <v>1515.25</v>
      </c>
      <c r="H245" s="105">
        <f t="shared" ref="H245:H246" si="175">SUM(G245/F245)</f>
        <v>0.2494238683127572</v>
      </c>
      <c r="I245" s="109">
        <v>6075</v>
      </c>
      <c r="J245" s="149">
        <v>1515.25</v>
      </c>
      <c r="K245" s="105">
        <f t="shared" ref="K245" si="176">SUM(J245/I245)</f>
        <v>0.2494238683127572</v>
      </c>
      <c r="L245" s="147">
        <v>1515.25</v>
      </c>
      <c r="M245" s="164"/>
      <c r="N245" s="164"/>
      <c r="O245" s="50"/>
      <c r="P245" s="164"/>
      <c r="Q245" s="127"/>
      <c r="R245" s="147"/>
      <c r="S245" s="238"/>
      <c r="T245" s="147"/>
      <c r="U245" s="164"/>
      <c r="V245" s="164"/>
      <c r="W245" s="50"/>
      <c r="X245" s="164"/>
    </row>
    <row r="246" spans="1:24">
      <c r="B246" s="34"/>
      <c r="C246" s="34"/>
      <c r="D246" s="70" t="s">
        <v>194</v>
      </c>
      <c r="E246" s="253" t="s">
        <v>201</v>
      </c>
      <c r="F246" s="96">
        <f t="shared" si="173"/>
        <v>227891</v>
      </c>
      <c r="G246" s="100">
        <f t="shared" si="174"/>
        <v>112.5</v>
      </c>
      <c r="H246" s="105">
        <f t="shared" si="175"/>
        <v>4.9365705534663504E-4</v>
      </c>
      <c r="I246" s="109"/>
      <c r="J246" s="149"/>
      <c r="K246" s="105"/>
      <c r="L246" s="147"/>
      <c r="M246" s="164"/>
      <c r="N246" s="164"/>
      <c r="O246" s="50"/>
      <c r="P246" s="164"/>
      <c r="Q246" s="127">
        <v>227891</v>
      </c>
      <c r="R246" s="147">
        <v>112.5</v>
      </c>
      <c r="S246" s="105">
        <f>SUM(R246/Q246)</f>
        <v>4.9365705534663504E-4</v>
      </c>
      <c r="T246" s="147">
        <v>112.5</v>
      </c>
      <c r="U246" s="164"/>
      <c r="V246" s="164"/>
      <c r="W246" s="50"/>
      <c r="X246" s="164"/>
    </row>
    <row r="247" spans="1:24" s="6" customFormat="1">
      <c r="A247" s="229"/>
      <c r="B247" s="33"/>
      <c r="C247" s="33">
        <v>85333</v>
      </c>
      <c r="D247" s="67"/>
      <c r="E247" s="78" t="s">
        <v>76</v>
      </c>
      <c r="F247" s="95">
        <f t="shared" si="151"/>
        <v>90200</v>
      </c>
      <c r="G247" s="99">
        <f t="shared" si="152"/>
        <v>35242.54</v>
      </c>
      <c r="H247" s="104">
        <f t="shared" si="170"/>
        <v>0.39071552106430157</v>
      </c>
      <c r="I247" s="111">
        <f>SUM(I250:I251)</f>
        <v>90200</v>
      </c>
      <c r="J247" s="146">
        <f>SUM(J248:J251)</f>
        <v>35242.54</v>
      </c>
      <c r="K247" s="104">
        <f t="shared" si="139"/>
        <v>0.39071552106430157</v>
      </c>
      <c r="L247" s="146">
        <f t="shared" ref="L247:R247" si="177">SUM(L250:L251)</f>
        <v>0</v>
      </c>
      <c r="M247" s="168">
        <f t="shared" si="177"/>
        <v>0</v>
      </c>
      <c r="N247" s="168">
        <f t="shared" si="177"/>
        <v>0</v>
      </c>
      <c r="O247" s="53">
        <f t="shared" si="177"/>
        <v>0</v>
      </c>
      <c r="P247" s="168">
        <f t="shared" si="177"/>
        <v>0</v>
      </c>
      <c r="Q247" s="130">
        <f t="shared" si="177"/>
        <v>0</v>
      </c>
      <c r="R247" s="146">
        <f t="shared" si="177"/>
        <v>0</v>
      </c>
      <c r="S247" s="237"/>
      <c r="T247" s="146">
        <f>SUM(T250:T251)</f>
        <v>0</v>
      </c>
      <c r="U247" s="168">
        <f>SUM(U250:U251)</f>
        <v>0</v>
      </c>
      <c r="V247" s="168">
        <f>SUM(V250:V251)</f>
        <v>0</v>
      </c>
      <c r="W247" s="53">
        <f>SUM(W250:W251)</f>
        <v>0</v>
      </c>
      <c r="X247" s="168">
        <f>SUM(X250:X251)</f>
        <v>0</v>
      </c>
    </row>
    <row r="248" spans="1:24" s="6" customFormat="1">
      <c r="A248" s="229"/>
      <c r="B248" s="262"/>
      <c r="C248" s="262"/>
      <c r="D248" s="72" t="s">
        <v>205</v>
      </c>
      <c r="E248" s="82" t="s">
        <v>206</v>
      </c>
      <c r="F248" s="96">
        <f t="shared" si="151"/>
        <v>0</v>
      </c>
      <c r="G248" s="100">
        <f t="shared" si="152"/>
        <v>240</v>
      </c>
      <c r="H248" s="105"/>
      <c r="I248" s="109">
        <v>0</v>
      </c>
      <c r="J248" s="149">
        <v>240</v>
      </c>
      <c r="K248" s="105" t="e">
        <f>SUM(J248/I248)</f>
        <v>#DIV/0!</v>
      </c>
      <c r="L248" s="268"/>
      <c r="M248" s="269"/>
      <c r="N248" s="269"/>
      <c r="O248" s="270"/>
      <c r="P248" s="269"/>
      <c r="Q248" s="271"/>
      <c r="R248" s="268"/>
      <c r="S248" s="259"/>
      <c r="T248" s="268"/>
      <c r="U248" s="269"/>
      <c r="V248" s="269"/>
      <c r="W248" s="270"/>
      <c r="X248" s="269"/>
    </row>
    <row r="249" spans="1:24" s="6" customFormat="1">
      <c r="A249" s="229"/>
      <c r="B249" s="262"/>
      <c r="C249" s="262"/>
      <c r="D249" s="72" t="s">
        <v>12</v>
      </c>
      <c r="E249" s="82" t="s">
        <v>13</v>
      </c>
      <c r="F249" s="96">
        <f t="shared" si="151"/>
        <v>0</v>
      </c>
      <c r="G249" s="100">
        <f t="shared" si="152"/>
        <v>5055</v>
      </c>
      <c r="H249" s="105"/>
      <c r="I249" s="109">
        <v>0</v>
      </c>
      <c r="J249" s="149">
        <v>5055</v>
      </c>
      <c r="K249" s="105" t="e">
        <f t="shared" ref="K249" si="178">SUM(J249/I249)</f>
        <v>#DIV/0!</v>
      </c>
      <c r="L249" s="268"/>
      <c r="M249" s="269"/>
      <c r="N249" s="269"/>
      <c r="O249" s="270"/>
      <c r="P249" s="269"/>
      <c r="Q249" s="271"/>
      <c r="R249" s="268"/>
      <c r="S249" s="259"/>
      <c r="T249" s="268"/>
      <c r="U249" s="269"/>
      <c r="V249" s="269"/>
      <c r="W249" s="270"/>
      <c r="X249" s="269"/>
    </row>
    <row r="250" spans="1:24">
      <c r="B250" s="34"/>
      <c r="C250" s="34"/>
      <c r="D250" s="70" t="s">
        <v>29</v>
      </c>
      <c r="E250" s="82" t="s">
        <v>148</v>
      </c>
      <c r="F250" s="96">
        <f t="shared" si="151"/>
        <v>0</v>
      </c>
      <c r="G250" s="100">
        <f t="shared" si="152"/>
        <v>151.55000000000001</v>
      </c>
      <c r="H250" s="105"/>
      <c r="I250" s="109">
        <v>0</v>
      </c>
      <c r="J250" s="149">
        <v>151.55000000000001</v>
      </c>
      <c r="K250" s="105"/>
      <c r="L250" s="147"/>
      <c r="M250" s="164"/>
      <c r="N250" s="164"/>
      <c r="O250" s="50"/>
      <c r="P250" s="164"/>
      <c r="Q250" s="127"/>
      <c r="R250" s="147"/>
      <c r="S250" s="238"/>
      <c r="T250" s="147"/>
      <c r="U250" s="164"/>
      <c r="V250" s="164"/>
      <c r="W250" s="50"/>
      <c r="X250" s="164"/>
    </row>
    <row r="251" spans="1:24">
      <c r="B251" s="34"/>
      <c r="C251" s="34"/>
      <c r="D251" s="70" t="s">
        <v>7</v>
      </c>
      <c r="E251" s="79" t="s">
        <v>8</v>
      </c>
      <c r="F251" s="96">
        <f t="shared" si="151"/>
        <v>90200</v>
      </c>
      <c r="G251" s="100">
        <f t="shared" si="152"/>
        <v>29795.99</v>
      </c>
      <c r="H251" s="105">
        <f t="shared" si="170"/>
        <v>0.33033248337028825</v>
      </c>
      <c r="I251" s="109">
        <v>90200</v>
      </c>
      <c r="J251" s="149">
        <v>29795.99</v>
      </c>
      <c r="K251" s="105">
        <f t="shared" si="139"/>
        <v>0.33033248337028825</v>
      </c>
      <c r="L251" s="147"/>
      <c r="M251" s="164"/>
      <c r="N251" s="164"/>
      <c r="O251" s="50"/>
      <c r="P251" s="164"/>
      <c r="Q251" s="127"/>
      <c r="R251" s="147"/>
      <c r="S251" s="238"/>
      <c r="T251" s="147"/>
      <c r="U251" s="164"/>
      <c r="V251" s="164"/>
      <c r="W251" s="50"/>
      <c r="X251" s="164"/>
    </row>
    <row r="252" spans="1:24">
      <c r="B252" s="45"/>
      <c r="C252" s="45">
        <v>85395</v>
      </c>
      <c r="D252" s="73"/>
      <c r="E252" s="91" t="s">
        <v>64</v>
      </c>
      <c r="F252" s="95">
        <f t="shared" si="151"/>
        <v>474666</v>
      </c>
      <c r="G252" s="99">
        <f t="shared" si="152"/>
        <v>92894.64</v>
      </c>
      <c r="H252" s="104">
        <f t="shared" si="170"/>
        <v>0.19570527486695907</v>
      </c>
      <c r="I252" s="116">
        <f>SUM(I254:I256)</f>
        <v>323647</v>
      </c>
      <c r="J252" s="159">
        <f>SUM(J253:J256)</f>
        <v>87386.64</v>
      </c>
      <c r="K252" s="104">
        <f t="shared" ref="K252:K307" si="179">SUM(J252/I252)</f>
        <v>0.27000602508288352</v>
      </c>
      <c r="L252" s="161">
        <f t="shared" ref="L252:R252" si="180">SUM(L254:L256)</f>
        <v>56952.58</v>
      </c>
      <c r="M252" s="179">
        <f t="shared" si="180"/>
        <v>0</v>
      </c>
      <c r="N252" s="179">
        <f t="shared" si="180"/>
        <v>0</v>
      </c>
      <c r="O252" s="61">
        <f t="shared" si="180"/>
        <v>0</v>
      </c>
      <c r="P252" s="179">
        <f t="shared" si="180"/>
        <v>0</v>
      </c>
      <c r="Q252" s="140">
        <f t="shared" si="180"/>
        <v>151019</v>
      </c>
      <c r="R252" s="161">
        <f t="shared" si="180"/>
        <v>5508</v>
      </c>
      <c r="S252" s="237">
        <f t="shared" ref="S252:S307" si="181">SUM(R252/Q252)</f>
        <v>3.6472231970811619E-2</v>
      </c>
      <c r="T252" s="161">
        <f>SUM(T254:T256)</f>
        <v>5508</v>
      </c>
      <c r="U252" s="179">
        <f>SUM(U254:U256)</f>
        <v>0</v>
      </c>
      <c r="V252" s="179">
        <f>SUM(V254:V256)</f>
        <v>0</v>
      </c>
      <c r="W252" s="61">
        <f>SUM(W254:W256)</f>
        <v>0</v>
      </c>
      <c r="X252" s="179">
        <f>SUM(X254:X256)</f>
        <v>0</v>
      </c>
    </row>
    <row r="253" spans="1:24">
      <c r="B253" s="254"/>
      <c r="C253" s="254"/>
      <c r="D253" s="70" t="s">
        <v>7</v>
      </c>
      <c r="E253" s="79" t="s">
        <v>8</v>
      </c>
      <c r="F253" s="96">
        <f>SUM(I253+Q253)</f>
        <v>0</v>
      </c>
      <c r="G253" s="100">
        <f>SUM(J253+R253)</f>
        <v>30434.06</v>
      </c>
      <c r="H253" s="105"/>
      <c r="I253" s="109">
        <v>0</v>
      </c>
      <c r="J253" s="149">
        <v>30434.06</v>
      </c>
      <c r="K253" s="105"/>
      <c r="L253" s="255"/>
      <c r="M253" s="256"/>
      <c r="N253" s="256"/>
      <c r="O253" s="257"/>
      <c r="P253" s="256"/>
      <c r="Q253" s="258"/>
      <c r="R253" s="255"/>
      <c r="S253" s="259"/>
      <c r="T253" s="255"/>
      <c r="U253" s="256"/>
      <c r="V253" s="256"/>
      <c r="W253" s="257"/>
      <c r="X253" s="256"/>
    </row>
    <row r="254" spans="1:24" ht="15.75" customHeight="1">
      <c r="B254" s="34"/>
      <c r="C254" s="34"/>
      <c r="D254" s="70" t="s">
        <v>156</v>
      </c>
      <c r="E254" s="82" t="s">
        <v>106</v>
      </c>
      <c r="F254" s="96">
        <f>SUM(I254+Q254)</f>
        <v>323647</v>
      </c>
      <c r="G254" s="100">
        <f>SUM(J254+R254)</f>
        <v>56952.58</v>
      </c>
      <c r="H254" s="105">
        <f>SUM(G254/F254)</f>
        <v>0.17597128970761355</v>
      </c>
      <c r="I254" s="109">
        <v>323647</v>
      </c>
      <c r="J254" s="151">
        <v>56952.58</v>
      </c>
      <c r="K254" s="105">
        <f t="shared" ref="K254" si="182">SUM(J254/I254)</f>
        <v>0.17597128970761355</v>
      </c>
      <c r="L254" s="147">
        <v>56952.58</v>
      </c>
      <c r="M254" s="164"/>
      <c r="N254" s="201"/>
      <c r="O254" s="50"/>
      <c r="P254" s="164"/>
      <c r="Q254" s="127"/>
      <c r="R254" s="147"/>
      <c r="S254" s="238"/>
      <c r="T254" s="147"/>
      <c r="U254" s="164"/>
      <c r="V254" s="164"/>
      <c r="W254" s="50"/>
      <c r="X254" s="164"/>
    </row>
    <row r="255" spans="1:24" hidden="1">
      <c r="B255" s="34"/>
      <c r="C255" s="34"/>
      <c r="D255" s="70" t="s">
        <v>27</v>
      </c>
      <c r="E255" s="82" t="s">
        <v>118</v>
      </c>
      <c r="F255" s="96">
        <f t="shared" ref="F255:F300" si="183">SUM(I255+Q255)</f>
        <v>0</v>
      </c>
      <c r="G255" s="100">
        <f t="shared" ref="G255:G300" si="184">SUM(J255+R255)</f>
        <v>0</v>
      </c>
      <c r="H255" s="105" t="e">
        <f>SUM(G255/F255)</f>
        <v>#DIV/0!</v>
      </c>
      <c r="I255" s="109"/>
      <c r="J255" s="151"/>
      <c r="K255" s="105"/>
      <c r="L255" s="147"/>
      <c r="M255" s="164"/>
      <c r="N255" s="201"/>
      <c r="O255" s="50"/>
      <c r="P255" s="164"/>
      <c r="Q255" s="127"/>
      <c r="R255" s="147"/>
      <c r="S255" s="238"/>
      <c r="T255" s="147"/>
      <c r="U255" s="164"/>
      <c r="V255" s="164"/>
      <c r="W255" s="50"/>
      <c r="X255" s="164"/>
    </row>
    <row r="256" spans="1:24">
      <c r="B256" s="34"/>
      <c r="C256" s="34"/>
      <c r="D256" s="70" t="s">
        <v>160</v>
      </c>
      <c r="E256" s="82" t="s">
        <v>106</v>
      </c>
      <c r="F256" s="96">
        <f>SUM(I256+Q256)</f>
        <v>151019</v>
      </c>
      <c r="G256" s="100">
        <f>SUM(J256+R256)</f>
        <v>5508</v>
      </c>
      <c r="H256" s="105">
        <f t="shared" si="170"/>
        <v>3.6472231970811619E-2</v>
      </c>
      <c r="I256" s="109"/>
      <c r="J256" s="151"/>
      <c r="K256" s="105"/>
      <c r="L256" s="147"/>
      <c r="M256" s="164"/>
      <c r="N256" s="201"/>
      <c r="O256" s="50"/>
      <c r="P256" s="164"/>
      <c r="Q256" s="127">
        <v>151019</v>
      </c>
      <c r="R256" s="147">
        <v>5508</v>
      </c>
      <c r="S256" s="238">
        <f t="shared" si="181"/>
        <v>3.6472231970811619E-2</v>
      </c>
      <c r="T256" s="147">
        <v>5508</v>
      </c>
      <c r="U256" s="164"/>
      <c r="V256" s="164"/>
      <c r="W256" s="50"/>
      <c r="X256" s="164"/>
    </row>
    <row r="257" spans="1:24" s="5" customFormat="1">
      <c r="A257" s="9"/>
      <c r="B257" s="36">
        <v>854</v>
      </c>
      <c r="C257" s="36"/>
      <c r="D257" s="71"/>
      <c r="E257" s="81" t="s">
        <v>77</v>
      </c>
      <c r="F257" s="97">
        <f t="shared" si="183"/>
        <v>702437</v>
      </c>
      <c r="G257" s="101">
        <f t="shared" si="184"/>
        <v>245706.25</v>
      </c>
      <c r="H257" s="106">
        <f t="shared" si="170"/>
        <v>0.34979115564812219</v>
      </c>
      <c r="I257" s="110">
        <f>SUM(I258+I263+I270+I274)</f>
        <v>702437</v>
      </c>
      <c r="J257" s="145">
        <f>SUM(J258+J263+J270+J274)</f>
        <v>245706.25</v>
      </c>
      <c r="K257" s="106">
        <f t="shared" si="179"/>
        <v>0.34979115564812219</v>
      </c>
      <c r="L257" s="145">
        <f t="shared" ref="L257:R257" si="185">SUM(L258+L263+L270+L274)</f>
        <v>0</v>
      </c>
      <c r="M257" s="166">
        <f t="shared" si="185"/>
        <v>0</v>
      </c>
      <c r="N257" s="166">
        <f t="shared" si="185"/>
        <v>0</v>
      </c>
      <c r="O257" s="52">
        <f t="shared" si="185"/>
        <v>0</v>
      </c>
      <c r="P257" s="166">
        <f t="shared" si="185"/>
        <v>0</v>
      </c>
      <c r="Q257" s="129">
        <f t="shared" si="185"/>
        <v>0</v>
      </c>
      <c r="R257" s="145">
        <f t="shared" si="185"/>
        <v>0</v>
      </c>
      <c r="S257" s="239"/>
      <c r="T257" s="145">
        <f>SUM(T258+T263+T270+T274)</f>
        <v>0</v>
      </c>
      <c r="U257" s="166">
        <f>SUM(U258+U263+U270+U274)</f>
        <v>0</v>
      </c>
      <c r="V257" s="166">
        <f>SUM(V258+V263+V270+V274)</f>
        <v>0</v>
      </c>
      <c r="W257" s="52">
        <f>SUM(W258+W263+W270+W274)</f>
        <v>0</v>
      </c>
      <c r="X257" s="166">
        <f>SUM(X258+X263+X270+X274)</f>
        <v>0</v>
      </c>
    </row>
    <row r="258" spans="1:24" s="6" customFormat="1">
      <c r="A258" s="229"/>
      <c r="B258" s="33"/>
      <c r="C258" s="33">
        <v>85406</v>
      </c>
      <c r="D258" s="67"/>
      <c r="E258" s="85" t="s">
        <v>78</v>
      </c>
      <c r="F258" s="95">
        <f t="shared" si="183"/>
        <v>12447</v>
      </c>
      <c r="G258" s="99">
        <f t="shared" si="184"/>
        <v>5557.63</v>
      </c>
      <c r="H258" s="104">
        <f t="shared" si="170"/>
        <v>0.44650357515867278</v>
      </c>
      <c r="I258" s="108">
        <f>SUM(I259:I262)</f>
        <v>12447</v>
      </c>
      <c r="J258" s="143">
        <f t="shared" ref="J258:X258" si="186">SUM(J259:J262)</f>
        <v>5557.63</v>
      </c>
      <c r="K258" s="104">
        <f t="shared" si="179"/>
        <v>0.44650357515867278</v>
      </c>
      <c r="L258" s="143">
        <f t="shared" si="186"/>
        <v>0</v>
      </c>
      <c r="M258" s="163">
        <f t="shared" si="186"/>
        <v>0</v>
      </c>
      <c r="N258" s="163">
        <f t="shared" si="186"/>
        <v>0</v>
      </c>
      <c r="O258" s="49">
        <f t="shared" si="186"/>
        <v>0</v>
      </c>
      <c r="P258" s="163">
        <f t="shared" si="186"/>
        <v>0</v>
      </c>
      <c r="Q258" s="126">
        <f t="shared" si="186"/>
        <v>0</v>
      </c>
      <c r="R258" s="143">
        <f t="shared" si="186"/>
        <v>0</v>
      </c>
      <c r="S258" s="237"/>
      <c r="T258" s="143">
        <f t="shared" si="186"/>
        <v>0</v>
      </c>
      <c r="U258" s="163">
        <f t="shared" si="186"/>
        <v>0</v>
      </c>
      <c r="V258" s="163">
        <f t="shared" si="186"/>
        <v>0</v>
      </c>
      <c r="W258" s="49">
        <f t="shared" si="186"/>
        <v>0</v>
      </c>
      <c r="X258" s="163">
        <f t="shared" si="186"/>
        <v>0</v>
      </c>
    </row>
    <row r="259" spans="1:24">
      <c r="B259" s="34"/>
      <c r="C259" s="34"/>
      <c r="D259" s="70" t="s">
        <v>32</v>
      </c>
      <c r="E259" s="82" t="s">
        <v>172</v>
      </c>
      <c r="F259" s="96">
        <f t="shared" si="183"/>
        <v>577</v>
      </c>
      <c r="G259" s="100">
        <f t="shared" si="184"/>
        <v>288.72000000000003</v>
      </c>
      <c r="H259" s="105">
        <f t="shared" si="170"/>
        <v>0.50038128249566727</v>
      </c>
      <c r="I259" s="109">
        <v>577</v>
      </c>
      <c r="J259" s="149">
        <v>288.72000000000003</v>
      </c>
      <c r="K259" s="105">
        <f t="shared" si="179"/>
        <v>0.50038128249566727</v>
      </c>
      <c r="L259" s="147"/>
      <c r="M259" s="164"/>
      <c r="N259" s="164"/>
      <c r="O259" s="50"/>
      <c r="P259" s="164"/>
      <c r="Q259" s="127"/>
      <c r="R259" s="147"/>
      <c r="S259" s="238"/>
      <c r="T259" s="147"/>
      <c r="U259" s="164"/>
      <c r="V259" s="164"/>
      <c r="W259" s="50"/>
      <c r="X259" s="164"/>
    </row>
    <row r="260" spans="1:24" hidden="1">
      <c r="B260" s="34"/>
      <c r="C260" s="34"/>
      <c r="D260" s="70" t="s">
        <v>52</v>
      </c>
      <c r="E260" s="79" t="s">
        <v>53</v>
      </c>
      <c r="F260" s="96">
        <f t="shared" si="183"/>
        <v>0</v>
      </c>
      <c r="G260" s="100">
        <f t="shared" si="184"/>
        <v>0</v>
      </c>
      <c r="H260" s="105" t="e">
        <f t="shared" si="170"/>
        <v>#DIV/0!</v>
      </c>
      <c r="I260" s="109"/>
      <c r="J260" s="149"/>
      <c r="K260" s="105" t="e">
        <f t="shared" si="179"/>
        <v>#DIV/0!</v>
      </c>
      <c r="L260" s="147"/>
      <c r="M260" s="164"/>
      <c r="N260" s="164"/>
      <c r="O260" s="50"/>
      <c r="P260" s="164"/>
      <c r="Q260" s="127"/>
      <c r="R260" s="147"/>
      <c r="S260" s="238"/>
      <c r="T260" s="147"/>
      <c r="U260" s="164"/>
      <c r="V260" s="164"/>
      <c r="W260" s="50"/>
      <c r="X260" s="164"/>
    </row>
    <row r="261" spans="1:24">
      <c r="B261" s="34"/>
      <c r="C261" s="34"/>
      <c r="D261" s="70" t="s">
        <v>29</v>
      </c>
      <c r="E261" s="82" t="s">
        <v>163</v>
      </c>
      <c r="F261" s="96">
        <f t="shared" si="183"/>
        <v>45</v>
      </c>
      <c r="G261" s="100">
        <f t="shared" si="184"/>
        <v>29.62</v>
      </c>
      <c r="H261" s="105">
        <f t="shared" si="170"/>
        <v>0.65822222222222226</v>
      </c>
      <c r="I261" s="109">
        <v>45</v>
      </c>
      <c r="J261" s="149">
        <v>29.62</v>
      </c>
      <c r="K261" s="105">
        <f t="shared" si="179"/>
        <v>0.65822222222222226</v>
      </c>
      <c r="L261" s="147"/>
      <c r="M261" s="164"/>
      <c r="N261" s="164"/>
      <c r="O261" s="50"/>
      <c r="P261" s="164"/>
      <c r="Q261" s="127"/>
      <c r="R261" s="147"/>
      <c r="S261" s="238"/>
      <c r="T261" s="147"/>
      <c r="U261" s="164"/>
      <c r="V261" s="164"/>
      <c r="W261" s="50"/>
      <c r="X261" s="164"/>
    </row>
    <row r="262" spans="1:24">
      <c r="B262" s="34"/>
      <c r="C262" s="34"/>
      <c r="D262" s="70" t="s">
        <v>7</v>
      </c>
      <c r="E262" s="82" t="s">
        <v>8</v>
      </c>
      <c r="F262" s="96">
        <f t="shared" si="183"/>
        <v>11825</v>
      </c>
      <c r="G262" s="100">
        <f t="shared" si="184"/>
        <v>5239.29</v>
      </c>
      <c r="H262" s="105">
        <f t="shared" si="170"/>
        <v>0.44306892177589852</v>
      </c>
      <c r="I262" s="109">
        <v>11825</v>
      </c>
      <c r="J262" s="149">
        <v>5239.29</v>
      </c>
      <c r="K262" s="105">
        <f t="shared" si="179"/>
        <v>0.44306892177589852</v>
      </c>
      <c r="L262" s="147"/>
      <c r="M262" s="164"/>
      <c r="N262" s="164"/>
      <c r="O262" s="50"/>
      <c r="P262" s="164"/>
      <c r="Q262" s="127"/>
      <c r="R262" s="147"/>
      <c r="S262" s="238"/>
      <c r="T262" s="147"/>
      <c r="U262" s="164"/>
      <c r="V262" s="164"/>
      <c r="W262" s="50"/>
      <c r="X262" s="164"/>
    </row>
    <row r="263" spans="1:24" s="6" customFormat="1">
      <c r="A263" s="229"/>
      <c r="B263" s="33"/>
      <c r="C263" s="33">
        <v>85407</v>
      </c>
      <c r="D263" s="67"/>
      <c r="E263" s="85" t="s">
        <v>79</v>
      </c>
      <c r="F263" s="95">
        <f t="shared" si="183"/>
        <v>280490</v>
      </c>
      <c r="G263" s="99">
        <f t="shared" si="184"/>
        <v>16362.419999999998</v>
      </c>
      <c r="H263" s="104">
        <f t="shared" si="170"/>
        <v>5.8335127812043204E-2</v>
      </c>
      <c r="I263" s="111">
        <f>SUM(I264:I269)</f>
        <v>280490</v>
      </c>
      <c r="J263" s="146">
        <f>SUM(J264:J269)</f>
        <v>16362.419999999998</v>
      </c>
      <c r="K263" s="104">
        <f t="shared" si="179"/>
        <v>5.8335127812043204E-2</v>
      </c>
      <c r="L263" s="146">
        <f t="shared" ref="L263:R263" si="187">SUM(L264:L268)</f>
        <v>0</v>
      </c>
      <c r="M263" s="168">
        <f t="shared" si="187"/>
        <v>0</v>
      </c>
      <c r="N263" s="168">
        <f t="shared" si="187"/>
        <v>0</v>
      </c>
      <c r="O263" s="53">
        <f t="shared" si="187"/>
        <v>0</v>
      </c>
      <c r="P263" s="168">
        <f t="shared" si="187"/>
        <v>0</v>
      </c>
      <c r="Q263" s="130">
        <f t="shared" si="187"/>
        <v>0</v>
      </c>
      <c r="R263" s="146">
        <f t="shared" si="187"/>
        <v>0</v>
      </c>
      <c r="S263" s="237"/>
      <c r="T263" s="146">
        <f>SUM(T264:T268)</f>
        <v>0</v>
      </c>
      <c r="U263" s="168">
        <f>SUM(U264:U268)</f>
        <v>0</v>
      </c>
      <c r="V263" s="168">
        <f>SUM(V264:V268)</f>
        <v>0</v>
      </c>
      <c r="W263" s="53">
        <f>SUM(W264:W268)</f>
        <v>0</v>
      </c>
      <c r="X263" s="168">
        <f>SUM(X264:X268)</f>
        <v>0</v>
      </c>
    </row>
    <row r="264" spans="1:24">
      <c r="B264" s="34"/>
      <c r="C264" s="34"/>
      <c r="D264" s="72" t="s">
        <v>32</v>
      </c>
      <c r="E264" s="79" t="s">
        <v>172</v>
      </c>
      <c r="F264" s="96">
        <f t="shared" si="183"/>
        <v>500</v>
      </c>
      <c r="G264" s="100">
        <f t="shared" si="184"/>
        <v>1715.43</v>
      </c>
      <c r="H264" s="105">
        <f t="shared" si="170"/>
        <v>3.43086</v>
      </c>
      <c r="I264" s="109">
        <v>500</v>
      </c>
      <c r="J264" s="149">
        <v>1715.43</v>
      </c>
      <c r="K264" s="105">
        <f t="shared" si="179"/>
        <v>3.43086</v>
      </c>
      <c r="L264" s="147"/>
      <c r="M264" s="164"/>
      <c r="N264" s="164"/>
      <c r="O264" s="50"/>
      <c r="P264" s="164"/>
      <c r="Q264" s="127"/>
      <c r="R264" s="147"/>
      <c r="S264" s="238"/>
      <c r="T264" s="147"/>
      <c r="U264" s="164"/>
      <c r="V264" s="164"/>
      <c r="W264" s="50"/>
      <c r="X264" s="164"/>
    </row>
    <row r="265" spans="1:24">
      <c r="B265" s="34"/>
      <c r="C265" s="34"/>
      <c r="D265" s="72" t="s">
        <v>52</v>
      </c>
      <c r="E265" s="79" t="s">
        <v>53</v>
      </c>
      <c r="F265" s="96">
        <f t="shared" si="183"/>
        <v>220</v>
      </c>
      <c r="G265" s="100">
        <f t="shared" si="184"/>
        <v>0</v>
      </c>
      <c r="H265" s="105">
        <f t="shared" si="170"/>
        <v>0</v>
      </c>
      <c r="I265" s="109">
        <v>220</v>
      </c>
      <c r="J265" s="149">
        <v>0</v>
      </c>
      <c r="K265" s="105">
        <f t="shared" si="179"/>
        <v>0</v>
      </c>
      <c r="L265" s="147"/>
      <c r="M265" s="164"/>
      <c r="N265" s="164"/>
      <c r="O265" s="50"/>
      <c r="P265" s="164"/>
      <c r="Q265" s="127"/>
      <c r="R265" s="147"/>
      <c r="S265" s="238"/>
      <c r="T265" s="147"/>
      <c r="U265" s="164"/>
      <c r="V265" s="164"/>
      <c r="W265" s="50"/>
      <c r="X265" s="164"/>
    </row>
    <row r="266" spans="1:24">
      <c r="B266" s="34"/>
      <c r="C266" s="34"/>
      <c r="D266" s="70" t="s">
        <v>29</v>
      </c>
      <c r="E266" s="82" t="s">
        <v>163</v>
      </c>
      <c r="F266" s="96">
        <f t="shared" si="183"/>
        <v>270</v>
      </c>
      <c r="G266" s="100">
        <f t="shared" si="184"/>
        <v>84.94</v>
      </c>
      <c r="H266" s="105">
        <f t="shared" si="170"/>
        <v>0.31459259259259259</v>
      </c>
      <c r="I266" s="109">
        <v>270</v>
      </c>
      <c r="J266" s="149">
        <v>84.94</v>
      </c>
      <c r="K266" s="105">
        <f t="shared" si="179"/>
        <v>0.31459259259259259</v>
      </c>
      <c r="L266" s="147"/>
      <c r="M266" s="164"/>
      <c r="N266" s="164"/>
      <c r="O266" s="50"/>
      <c r="P266" s="164"/>
      <c r="Q266" s="127"/>
      <c r="R266" s="147"/>
      <c r="S266" s="238"/>
      <c r="T266" s="147"/>
      <c r="U266" s="164"/>
      <c r="V266" s="164"/>
      <c r="W266" s="50"/>
      <c r="X266" s="164"/>
    </row>
    <row r="267" spans="1:24">
      <c r="B267" s="34"/>
      <c r="C267" s="34"/>
      <c r="D267" s="72" t="s">
        <v>16</v>
      </c>
      <c r="E267" s="82" t="s">
        <v>168</v>
      </c>
      <c r="F267" s="96">
        <f t="shared" si="183"/>
        <v>1400</v>
      </c>
      <c r="G267" s="100">
        <f t="shared" si="184"/>
        <v>1400</v>
      </c>
      <c r="H267" s="105">
        <f t="shared" si="170"/>
        <v>1</v>
      </c>
      <c r="I267" s="109">
        <v>1400</v>
      </c>
      <c r="J267" s="149">
        <v>1400</v>
      </c>
      <c r="K267" s="105">
        <f t="shared" si="179"/>
        <v>1</v>
      </c>
      <c r="L267" s="147"/>
      <c r="M267" s="164"/>
      <c r="N267" s="164"/>
      <c r="O267" s="50"/>
      <c r="P267" s="164"/>
      <c r="Q267" s="127"/>
      <c r="R267" s="147"/>
      <c r="S267" s="238"/>
      <c r="T267" s="147"/>
      <c r="U267" s="164"/>
      <c r="V267" s="164"/>
      <c r="W267" s="50"/>
      <c r="X267" s="164"/>
    </row>
    <row r="268" spans="1:24">
      <c r="B268" s="34"/>
      <c r="C268" s="34"/>
      <c r="D268" s="70" t="s">
        <v>7</v>
      </c>
      <c r="E268" s="79" t="s">
        <v>8</v>
      </c>
      <c r="F268" s="96">
        <f t="shared" si="183"/>
        <v>0</v>
      </c>
      <c r="G268" s="100">
        <f t="shared" si="184"/>
        <v>13162.05</v>
      </c>
      <c r="H268" s="105"/>
      <c r="I268" s="109">
        <v>0</v>
      </c>
      <c r="J268" s="149">
        <v>13162.05</v>
      </c>
      <c r="K268" s="105"/>
      <c r="L268" s="147"/>
      <c r="M268" s="164"/>
      <c r="N268" s="164"/>
      <c r="O268" s="50"/>
      <c r="P268" s="164"/>
      <c r="Q268" s="127"/>
      <c r="R268" s="147"/>
      <c r="S268" s="238"/>
      <c r="T268" s="147"/>
      <c r="U268" s="164"/>
      <c r="V268" s="164"/>
      <c r="W268" s="50"/>
      <c r="X268" s="164"/>
    </row>
    <row r="269" spans="1:24">
      <c r="B269" s="34"/>
      <c r="C269" s="34"/>
      <c r="D269" s="70" t="s">
        <v>102</v>
      </c>
      <c r="E269" s="79" t="s">
        <v>140</v>
      </c>
      <c r="F269" s="96">
        <f t="shared" ref="F269" si="188">SUM(I269+Q269)</f>
        <v>278100</v>
      </c>
      <c r="G269" s="100">
        <f t="shared" ref="G269" si="189">SUM(J269+R269)</f>
        <v>0</v>
      </c>
      <c r="H269" s="105">
        <f t="shared" si="170"/>
        <v>0</v>
      </c>
      <c r="I269" s="109">
        <v>278100</v>
      </c>
      <c r="J269" s="149">
        <v>0</v>
      </c>
      <c r="K269" s="105">
        <f t="shared" si="179"/>
        <v>0</v>
      </c>
      <c r="L269" s="147"/>
      <c r="M269" s="164"/>
      <c r="N269" s="164"/>
      <c r="O269" s="50"/>
      <c r="P269" s="164"/>
      <c r="Q269" s="127"/>
      <c r="R269" s="147"/>
      <c r="S269" s="238"/>
      <c r="T269" s="147"/>
      <c r="U269" s="164"/>
      <c r="V269" s="164"/>
      <c r="W269" s="50"/>
      <c r="X269" s="164"/>
    </row>
    <row r="270" spans="1:24" s="6" customFormat="1">
      <c r="A270" s="229"/>
      <c r="B270" s="33"/>
      <c r="C270" s="33">
        <v>85410</v>
      </c>
      <c r="D270" s="67"/>
      <c r="E270" s="85" t="s">
        <v>80</v>
      </c>
      <c r="F270" s="95">
        <f t="shared" si="183"/>
        <v>368156</v>
      </c>
      <c r="G270" s="99">
        <f t="shared" si="184"/>
        <v>206222.03</v>
      </c>
      <c r="H270" s="104">
        <f t="shared" si="170"/>
        <v>0.56014849683286427</v>
      </c>
      <c r="I270" s="111">
        <f>SUM(I271:I273)</f>
        <v>368156</v>
      </c>
      <c r="J270" s="146">
        <f>SUM(J271:J273)</f>
        <v>206222.03</v>
      </c>
      <c r="K270" s="104">
        <f t="shared" si="179"/>
        <v>0.56014849683286427</v>
      </c>
      <c r="L270" s="146">
        <f t="shared" ref="L270:R270" si="190">SUM(L271:L273)</f>
        <v>0</v>
      </c>
      <c r="M270" s="168">
        <f t="shared" si="190"/>
        <v>0</v>
      </c>
      <c r="N270" s="168">
        <f t="shared" si="190"/>
        <v>0</v>
      </c>
      <c r="O270" s="53">
        <f t="shared" si="190"/>
        <v>0</v>
      </c>
      <c r="P270" s="168">
        <f t="shared" si="190"/>
        <v>0</v>
      </c>
      <c r="Q270" s="130">
        <f t="shared" si="190"/>
        <v>0</v>
      </c>
      <c r="R270" s="146">
        <f t="shared" si="190"/>
        <v>0</v>
      </c>
      <c r="S270" s="237"/>
      <c r="T270" s="146">
        <f>SUM(T271:T273)</f>
        <v>0</v>
      </c>
      <c r="U270" s="168">
        <f>SUM(U271:U273)</f>
        <v>0</v>
      </c>
      <c r="V270" s="168">
        <f>SUM(V271:V273)</f>
        <v>0</v>
      </c>
      <c r="W270" s="53">
        <f>SUM(W271:W273)</f>
        <v>0</v>
      </c>
      <c r="X270" s="168">
        <f>SUM(X271:X273)</f>
        <v>0</v>
      </c>
    </row>
    <row r="271" spans="1:24">
      <c r="B271" s="34"/>
      <c r="C271" s="34"/>
      <c r="D271" s="70" t="s">
        <v>32</v>
      </c>
      <c r="E271" s="82" t="s">
        <v>172</v>
      </c>
      <c r="F271" s="96">
        <f t="shared" si="183"/>
        <v>37806</v>
      </c>
      <c r="G271" s="100">
        <f t="shared" si="184"/>
        <v>18903</v>
      </c>
      <c r="H271" s="105">
        <f t="shared" si="170"/>
        <v>0.5</v>
      </c>
      <c r="I271" s="109">
        <v>37806</v>
      </c>
      <c r="J271" s="149">
        <v>18903</v>
      </c>
      <c r="K271" s="105">
        <f t="shared" si="179"/>
        <v>0.5</v>
      </c>
      <c r="L271" s="147"/>
      <c r="M271" s="164"/>
      <c r="N271" s="164"/>
      <c r="O271" s="50"/>
      <c r="P271" s="164"/>
      <c r="Q271" s="127"/>
      <c r="R271" s="147"/>
      <c r="S271" s="238"/>
      <c r="T271" s="147"/>
      <c r="U271" s="164"/>
      <c r="V271" s="164"/>
      <c r="W271" s="50"/>
      <c r="X271" s="164"/>
    </row>
    <row r="272" spans="1:24">
      <c r="B272" s="34"/>
      <c r="C272" s="34"/>
      <c r="D272" s="70" t="s">
        <v>52</v>
      </c>
      <c r="E272" s="79" t="s">
        <v>53</v>
      </c>
      <c r="F272" s="96">
        <f t="shared" si="183"/>
        <v>330300</v>
      </c>
      <c r="G272" s="100">
        <f t="shared" si="184"/>
        <v>187319.03</v>
      </c>
      <c r="H272" s="105">
        <f t="shared" si="170"/>
        <v>0.56711786254919772</v>
      </c>
      <c r="I272" s="109">
        <f>154050+176250</f>
        <v>330300</v>
      </c>
      <c r="J272" s="149">
        <f>76584.84+110734.19</f>
        <v>187319.03</v>
      </c>
      <c r="K272" s="105">
        <f t="shared" si="179"/>
        <v>0.56711786254919772</v>
      </c>
      <c r="L272" s="147"/>
      <c r="M272" s="164"/>
      <c r="N272" s="164"/>
      <c r="O272" s="50"/>
      <c r="P272" s="164"/>
      <c r="Q272" s="127"/>
      <c r="R272" s="147"/>
      <c r="S272" s="238"/>
      <c r="T272" s="147"/>
      <c r="U272" s="164"/>
      <c r="V272" s="164"/>
      <c r="W272" s="50"/>
      <c r="X272" s="164"/>
    </row>
    <row r="273" spans="1:24">
      <c r="B273" s="34"/>
      <c r="C273" s="34"/>
      <c r="D273" s="70" t="s">
        <v>29</v>
      </c>
      <c r="E273" s="82" t="s">
        <v>163</v>
      </c>
      <c r="F273" s="96">
        <f t="shared" si="183"/>
        <v>50</v>
      </c>
      <c r="G273" s="100">
        <f t="shared" si="184"/>
        <v>0</v>
      </c>
      <c r="H273" s="105">
        <f t="shared" si="170"/>
        <v>0</v>
      </c>
      <c r="I273" s="109">
        <v>50</v>
      </c>
      <c r="J273" s="149"/>
      <c r="K273" s="105">
        <f t="shared" si="179"/>
        <v>0</v>
      </c>
      <c r="L273" s="147"/>
      <c r="M273" s="164"/>
      <c r="N273" s="164"/>
      <c r="O273" s="50"/>
      <c r="P273" s="164"/>
      <c r="Q273" s="127"/>
      <c r="R273" s="147"/>
      <c r="S273" s="238"/>
      <c r="T273" s="147"/>
      <c r="U273" s="164"/>
      <c r="V273" s="164"/>
      <c r="W273" s="50"/>
      <c r="X273" s="164"/>
    </row>
    <row r="274" spans="1:24" s="6" customFormat="1">
      <c r="A274" s="229"/>
      <c r="B274" s="33"/>
      <c r="C274" s="33">
        <v>85417</v>
      </c>
      <c r="D274" s="67"/>
      <c r="E274" s="85" t="s">
        <v>81</v>
      </c>
      <c r="F274" s="95">
        <f t="shared" si="183"/>
        <v>41344</v>
      </c>
      <c r="G274" s="99">
        <f t="shared" si="184"/>
        <v>17564.170000000002</v>
      </c>
      <c r="H274" s="104">
        <f t="shared" si="170"/>
        <v>0.42482996323529415</v>
      </c>
      <c r="I274" s="108">
        <f>SUM(I275:I276)</f>
        <v>41344</v>
      </c>
      <c r="J274" s="143">
        <f>SUM(J275:J276)</f>
        <v>17564.170000000002</v>
      </c>
      <c r="K274" s="104">
        <f t="shared" si="179"/>
        <v>0.42482996323529415</v>
      </c>
      <c r="L274" s="143">
        <f t="shared" ref="L274:R274" si="191">SUM(L275:L276)</f>
        <v>0</v>
      </c>
      <c r="M274" s="163">
        <f t="shared" si="191"/>
        <v>0</v>
      </c>
      <c r="N274" s="163">
        <f t="shared" si="191"/>
        <v>0</v>
      </c>
      <c r="O274" s="49">
        <f t="shared" si="191"/>
        <v>0</v>
      </c>
      <c r="P274" s="163">
        <f t="shared" si="191"/>
        <v>0</v>
      </c>
      <c r="Q274" s="126">
        <f t="shared" si="191"/>
        <v>0</v>
      </c>
      <c r="R274" s="143">
        <f t="shared" si="191"/>
        <v>0</v>
      </c>
      <c r="S274" s="237"/>
      <c r="T274" s="143">
        <f>SUM(T275:T276)</f>
        <v>0</v>
      </c>
      <c r="U274" s="163">
        <f>SUM(U275:U276)</f>
        <v>0</v>
      </c>
      <c r="V274" s="163">
        <f>SUM(V275:V276)</f>
        <v>0</v>
      </c>
      <c r="W274" s="49">
        <f>SUM(W275:W276)</f>
        <v>0</v>
      </c>
      <c r="X274" s="163">
        <f>SUM(X275:X276)</f>
        <v>0</v>
      </c>
    </row>
    <row r="275" spans="1:24">
      <c r="A275"/>
      <c r="B275" s="34"/>
      <c r="C275" s="34"/>
      <c r="D275" s="70" t="s">
        <v>52</v>
      </c>
      <c r="E275" s="79" t="s">
        <v>53</v>
      </c>
      <c r="F275" s="96">
        <f t="shared" si="183"/>
        <v>39144</v>
      </c>
      <c r="G275" s="100">
        <f t="shared" si="184"/>
        <v>16890.27</v>
      </c>
      <c r="H275" s="105">
        <f t="shared" si="170"/>
        <v>0.43149064990803188</v>
      </c>
      <c r="I275" s="109">
        <f>2868+36276</f>
        <v>39144</v>
      </c>
      <c r="J275" s="149">
        <f>103.71+16786.56</f>
        <v>16890.27</v>
      </c>
      <c r="K275" s="105">
        <f t="shared" si="179"/>
        <v>0.43149064990803188</v>
      </c>
      <c r="L275" s="147"/>
      <c r="M275" s="164"/>
      <c r="N275" s="164"/>
      <c r="O275" s="50"/>
      <c r="P275" s="164"/>
      <c r="Q275" s="127"/>
      <c r="R275" s="147"/>
      <c r="S275" s="238"/>
      <c r="T275" s="147"/>
      <c r="U275" s="164"/>
      <c r="V275" s="164"/>
      <c r="W275" s="50"/>
      <c r="X275" s="164"/>
    </row>
    <row r="276" spans="1:24">
      <c r="A276"/>
      <c r="B276" s="34"/>
      <c r="C276" s="34"/>
      <c r="D276" s="70" t="s">
        <v>7</v>
      </c>
      <c r="E276" s="79" t="s">
        <v>8</v>
      </c>
      <c r="F276" s="96">
        <f t="shared" si="183"/>
        <v>2200</v>
      </c>
      <c r="G276" s="100">
        <f t="shared" si="184"/>
        <v>673.9</v>
      </c>
      <c r="H276" s="105">
        <f t="shared" si="170"/>
        <v>0.30631818181818182</v>
      </c>
      <c r="I276" s="109">
        <v>2200</v>
      </c>
      <c r="J276" s="149">
        <v>673.9</v>
      </c>
      <c r="K276" s="105">
        <f t="shared" si="179"/>
        <v>0.30631818181818182</v>
      </c>
      <c r="L276" s="147"/>
      <c r="M276" s="164"/>
      <c r="N276" s="164"/>
      <c r="O276" s="50"/>
      <c r="P276" s="164"/>
      <c r="Q276" s="127"/>
      <c r="R276" s="147"/>
      <c r="S276" s="238"/>
      <c r="T276" s="147"/>
      <c r="U276" s="164"/>
      <c r="V276" s="164"/>
      <c r="W276" s="50"/>
      <c r="X276" s="164"/>
    </row>
    <row r="277" spans="1:24">
      <c r="A277"/>
      <c r="B277" s="36">
        <v>855</v>
      </c>
      <c r="C277" s="36"/>
      <c r="D277" s="71"/>
      <c r="E277" s="81" t="s">
        <v>189</v>
      </c>
      <c r="F277" s="97">
        <f t="shared" ref="F277:F290" si="192">SUM(I277+Q277)</f>
        <v>1244345</v>
      </c>
      <c r="G277" s="101">
        <f t="shared" ref="G277:G290" si="193">SUM(J277+R277)</f>
        <v>707230.80999999994</v>
      </c>
      <c r="H277" s="106">
        <f t="shared" ref="H277:H290" si="194">SUM(G277/F277)</f>
        <v>0.56835589004657061</v>
      </c>
      <c r="I277" s="110">
        <f>SUM(I278+I285)</f>
        <v>1244345</v>
      </c>
      <c r="J277" s="145">
        <f>SUM(J278+J285)</f>
        <v>707230.80999999994</v>
      </c>
      <c r="K277" s="106">
        <f t="shared" ref="K277:K290" si="195">SUM(J277/I277)</f>
        <v>0.56835589004657061</v>
      </c>
      <c r="L277" s="145">
        <f>SUM(L278+L285)</f>
        <v>0</v>
      </c>
      <c r="M277" s="145">
        <f t="shared" ref="M277:R277" si="196">SUM(M278+M285)</f>
        <v>0</v>
      </c>
      <c r="N277" s="145">
        <f t="shared" si="196"/>
        <v>221353</v>
      </c>
      <c r="O277" s="145">
        <f t="shared" si="196"/>
        <v>0</v>
      </c>
      <c r="P277" s="145">
        <f t="shared" si="196"/>
        <v>0</v>
      </c>
      <c r="Q277" s="145">
        <f t="shared" si="196"/>
        <v>0</v>
      </c>
      <c r="R277" s="145">
        <f t="shared" si="196"/>
        <v>0</v>
      </c>
      <c r="S277" s="239"/>
      <c r="T277" s="145">
        <f>SUM(T278+T285)</f>
        <v>0</v>
      </c>
      <c r="U277" s="166">
        <f t="shared" ref="U277:X277" si="197">SUM(U278+U285)</f>
        <v>0</v>
      </c>
      <c r="V277" s="166">
        <f t="shared" si="197"/>
        <v>0</v>
      </c>
      <c r="W277" s="166">
        <f t="shared" si="197"/>
        <v>0</v>
      </c>
      <c r="X277" s="166">
        <f t="shared" si="197"/>
        <v>0</v>
      </c>
    </row>
    <row r="278" spans="1:24">
      <c r="A278"/>
      <c r="B278" s="33"/>
      <c r="C278" s="33">
        <v>85508</v>
      </c>
      <c r="D278" s="67"/>
      <c r="E278" s="85" t="s">
        <v>70</v>
      </c>
      <c r="F278" s="95">
        <f t="shared" si="192"/>
        <v>743383</v>
      </c>
      <c r="G278" s="99">
        <f t="shared" si="193"/>
        <v>392777.36</v>
      </c>
      <c r="H278" s="104">
        <f t="shared" si="194"/>
        <v>0.5283647325806482</v>
      </c>
      <c r="I278" s="108">
        <f>SUM(I279:I284)</f>
        <v>743383</v>
      </c>
      <c r="J278" s="143">
        <f t="shared" ref="J278" si="198">SUM(J279:J284)</f>
        <v>392777.36</v>
      </c>
      <c r="K278" s="104">
        <f t="shared" si="195"/>
        <v>0.5283647325806482</v>
      </c>
      <c r="L278" s="143">
        <f t="shared" ref="L278:R278" si="199">SUM(L279:L284)</f>
        <v>0</v>
      </c>
      <c r="M278" s="163">
        <f t="shared" si="199"/>
        <v>0</v>
      </c>
      <c r="N278" s="163">
        <f t="shared" si="199"/>
        <v>221353</v>
      </c>
      <c r="O278" s="49">
        <f t="shared" si="199"/>
        <v>0</v>
      </c>
      <c r="P278" s="163">
        <f t="shared" si="199"/>
        <v>0</v>
      </c>
      <c r="Q278" s="126">
        <f t="shared" si="199"/>
        <v>0</v>
      </c>
      <c r="R278" s="143">
        <f t="shared" si="199"/>
        <v>0</v>
      </c>
      <c r="S278" s="237"/>
      <c r="T278" s="143">
        <f t="shared" ref="T278:X278" si="200">SUM(T279:T284)</f>
        <v>0</v>
      </c>
      <c r="U278" s="163">
        <f t="shared" si="200"/>
        <v>0</v>
      </c>
      <c r="V278" s="163">
        <f t="shared" si="200"/>
        <v>0</v>
      </c>
      <c r="W278" s="49">
        <f t="shared" si="200"/>
        <v>0</v>
      </c>
      <c r="X278" s="163">
        <f t="shared" si="200"/>
        <v>0</v>
      </c>
    </row>
    <row r="279" spans="1:24">
      <c r="A279"/>
      <c r="B279" s="34"/>
      <c r="C279" s="34"/>
      <c r="D279" s="72" t="s">
        <v>103</v>
      </c>
      <c r="E279" s="82" t="s">
        <v>152</v>
      </c>
      <c r="F279" s="96">
        <f t="shared" si="192"/>
        <v>0</v>
      </c>
      <c r="G279" s="100">
        <f t="shared" si="193"/>
        <v>89.29</v>
      </c>
      <c r="H279" s="105"/>
      <c r="I279" s="109">
        <v>0</v>
      </c>
      <c r="J279" s="149">
        <v>89.29</v>
      </c>
      <c r="K279" s="105"/>
      <c r="L279" s="147"/>
      <c r="M279" s="164"/>
      <c r="N279" s="164"/>
      <c r="O279" s="50"/>
      <c r="P279" s="164"/>
      <c r="Q279" s="127"/>
      <c r="R279" s="147"/>
      <c r="S279" s="238"/>
      <c r="T279" s="147"/>
      <c r="U279" s="164"/>
      <c r="V279" s="164"/>
      <c r="W279" s="50"/>
      <c r="X279" s="164"/>
    </row>
    <row r="280" spans="1:24">
      <c r="A280"/>
      <c r="B280" s="34"/>
      <c r="C280" s="34"/>
      <c r="D280" s="72" t="s">
        <v>12</v>
      </c>
      <c r="E280" s="79" t="s">
        <v>190</v>
      </c>
      <c r="F280" s="96">
        <f t="shared" si="192"/>
        <v>199180</v>
      </c>
      <c r="G280" s="100">
        <f t="shared" si="193"/>
        <v>91990.32</v>
      </c>
      <c r="H280" s="105">
        <f t="shared" si="194"/>
        <v>0.46184516517722668</v>
      </c>
      <c r="I280" s="109">
        <v>199180</v>
      </c>
      <c r="J280" s="149">
        <v>91990.32</v>
      </c>
      <c r="K280" s="105">
        <f t="shared" si="195"/>
        <v>0.46184516517722668</v>
      </c>
      <c r="L280" s="147"/>
      <c r="M280" s="164"/>
      <c r="N280" s="164"/>
      <c r="O280" s="50"/>
      <c r="P280" s="164"/>
      <c r="Q280" s="127"/>
      <c r="R280" s="147"/>
      <c r="S280" s="238"/>
      <c r="T280" s="147"/>
      <c r="U280" s="164"/>
      <c r="V280" s="164"/>
      <c r="W280" s="50"/>
      <c r="X280" s="164"/>
    </row>
    <row r="281" spans="1:24">
      <c r="A281"/>
      <c r="B281" s="34"/>
      <c r="C281" s="34"/>
      <c r="D281" s="72" t="s">
        <v>52</v>
      </c>
      <c r="E281" s="82" t="s">
        <v>53</v>
      </c>
      <c r="F281" s="96">
        <f t="shared" si="192"/>
        <v>147801</v>
      </c>
      <c r="G281" s="100">
        <f t="shared" si="193"/>
        <v>79340.3</v>
      </c>
      <c r="H281" s="105">
        <f t="shared" si="194"/>
        <v>0.53680489306567614</v>
      </c>
      <c r="I281" s="109">
        <v>147801</v>
      </c>
      <c r="J281" s="149">
        <v>79340.3</v>
      </c>
      <c r="K281" s="105">
        <f t="shared" si="195"/>
        <v>0.53680489306567614</v>
      </c>
      <c r="L281" s="147"/>
      <c r="M281" s="164"/>
      <c r="N281" s="164"/>
      <c r="O281" s="50"/>
      <c r="P281" s="164"/>
      <c r="Q281" s="127"/>
      <c r="R281" s="147"/>
      <c r="S281" s="238"/>
      <c r="T281" s="147"/>
      <c r="U281" s="164"/>
      <c r="V281" s="164"/>
      <c r="W281" s="50"/>
      <c r="X281" s="164"/>
    </row>
    <row r="282" spans="1:24">
      <c r="A282"/>
      <c r="B282" s="34"/>
      <c r="C282" s="34"/>
      <c r="D282" s="72" t="s">
        <v>105</v>
      </c>
      <c r="E282" s="253" t="s">
        <v>109</v>
      </c>
      <c r="F282" s="96">
        <f t="shared" si="192"/>
        <v>0</v>
      </c>
      <c r="G282" s="100">
        <f t="shared" si="193"/>
        <v>4.45</v>
      </c>
      <c r="H282" s="105"/>
      <c r="I282" s="109">
        <v>0</v>
      </c>
      <c r="J282" s="149">
        <v>4.45</v>
      </c>
      <c r="K282" s="105"/>
      <c r="L282" s="147"/>
      <c r="M282" s="164"/>
      <c r="N282" s="164"/>
      <c r="O282" s="50"/>
      <c r="P282" s="164"/>
      <c r="Q282" s="127"/>
      <c r="R282" s="147"/>
      <c r="S282" s="238"/>
      <c r="T282" s="147"/>
      <c r="U282" s="164"/>
      <c r="V282" s="164"/>
      <c r="W282" s="50"/>
      <c r="X282" s="164"/>
    </row>
    <row r="283" spans="1:24" hidden="1">
      <c r="A283"/>
      <c r="B283" s="34"/>
      <c r="C283" s="34"/>
      <c r="D283" s="70" t="s">
        <v>156</v>
      </c>
      <c r="E283" s="82" t="s">
        <v>106</v>
      </c>
      <c r="F283" s="96">
        <f t="shared" si="192"/>
        <v>0</v>
      </c>
      <c r="G283" s="100">
        <f t="shared" si="193"/>
        <v>0</v>
      </c>
      <c r="H283" s="105" t="e">
        <f t="shared" si="194"/>
        <v>#DIV/0!</v>
      </c>
      <c r="I283" s="109"/>
      <c r="J283" s="149"/>
      <c r="K283" s="105" t="e">
        <f t="shared" si="195"/>
        <v>#DIV/0!</v>
      </c>
      <c r="L283" s="147"/>
      <c r="M283" s="164"/>
      <c r="N283" s="164"/>
      <c r="O283" s="50"/>
      <c r="P283" s="164"/>
      <c r="Q283" s="127"/>
      <c r="R283" s="147"/>
      <c r="S283" s="238"/>
      <c r="T283" s="147"/>
      <c r="U283" s="164"/>
      <c r="V283" s="164"/>
      <c r="W283" s="50"/>
      <c r="X283" s="164"/>
    </row>
    <row r="284" spans="1:24">
      <c r="A284"/>
      <c r="B284" s="34"/>
      <c r="C284" s="34"/>
      <c r="D284" s="70" t="s">
        <v>162</v>
      </c>
      <c r="E284" s="82" t="s">
        <v>146</v>
      </c>
      <c r="F284" s="96">
        <f t="shared" si="192"/>
        <v>396402</v>
      </c>
      <c r="G284" s="100">
        <f t="shared" si="193"/>
        <v>221353</v>
      </c>
      <c r="H284" s="105">
        <f t="shared" si="194"/>
        <v>0.55840535617882858</v>
      </c>
      <c r="I284" s="109">
        <v>396402</v>
      </c>
      <c r="J284" s="149">
        <v>221353</v>
      </c>
      <c r="K284" s="105">
        <f t="shared" si="195"/>
        <v>0.55840535617882858</v>
      </c>
      <c r="L284" s="147"/>
      <c r="M284" s="164"/>
      <c r="N284" s="164">
        <v>221353</v>
      </c>
      <c r="O284" s="50"/>
      <c r="P284" s="164"/>
      <c r="Q284" s="127"/>
      <c r="R284" s="147"/>
      <c r="S284" s="238"/>
      <c r="T284" s="147"/>
      <c r="U284" s="164"/>
      <c r="V284" s="164"/>
      <c r="W284" s="50"/>
      <c r="X284" s="164"/>
    </row>
    <row r="285" spans="1:24">
      <c r="A285"/>
      <c r="B285" s="33"/>
      <c r="C285" s="33">
        <v>85510</v>
      </c>
      <c r="D285" s="67"/>
      <c r="E285" s="85" t="s">
        <v>191</v>
      </c>
      <c r="F285" s="95">
        <f t="shared" si="192"/>
        <v>500962</v>
      </c>
      <c r="G285" s="99">
        <f t="shared" si="193"/>
        <v>314453.44999999995</v>
      </c>
      <c r="H285" s="104">
        <f t="shared" si="194"/>
        <v>0.62769920672625856</v>
      </c>
      <c r="I285" s="111">
        <f>SUM(I286:I290)</f>
        <v>500962</v>
      </c>
      <c r="J285" s="146">
        <f>SUM(J286:J290)</f>
        <v>314453.44999999995</v>
      </c>
      <c r="K285" s="104">
        <f t="shared" si="195"/>
        <v>0.62769920672625856</v>
      </c>
      <c r="L285" s="146">
        <f t="shared" ref="L285:R285" si="201">SUM(L286:L290)</f>
        <v>0</v>
      </c>
      <c r="M285" s="168">
        <f t="shared" si="201"/>
        <v>0</v>
      </c>
      <c r="N285" s="168">
        <f t="shared" si="201"/>
        <v>0</v>
      </c>
      <c r="O285" s="53">
        <f t="shared" si="201"/>
        <v>0</v>
      </c>
      <c r="P285" s="168">
        <f t="shared" si="201"/>
        <v>0</v>
      </c>
      <c r="Q285" s="130">
        <f t="shared" si="201"/>
        <v>0</v>
      </c>
      <c r="R285" s="146">
        <f t="shared" si="201"/>
        <v>0</v>
      </c>
      <c r="S285" s="237"/>
      <c r="T285" s="146">
        <f>SUM(T286:T290)</f>
        <v>0</v>
      </c>
      <c r="U285" s="168">
        <f>SUM(U286:U290)</f>
        <v>0</v>
      </c>
      <c r="V285" s="168">
        <f>SUM(V286:V290)</f>
        <v>0</v>
      </c>
      <c r="W285" s="53">
        <f>SUM(W286:W290)</f>
        <v>0</v>
      </c>
      <c r="X285" s="168">
        <f>SUM(X286:X290)</f>
        <v>0</v>
      </c>
    </row>
    <row r="286" spans="1:24">
      <c r="A286"/>
      <c r="B286" s="34"/>
      <c r="C286" s="34"/>
      <c r="D286" s="72" t="s">
        <v>12</v>
      </c>
      <c r="E286" s="79" t="s">
        <v>13</v>
      </c>
      <c r="F286" s="96">
        <f t="shared" si="192"/>
        <v>174458</v>
      </c>
      <c r="G286" s="100">
        <f t="shared" si="193"/>
        <v>112567.03</v>
      </c>
      <c r="H286" s="105">
        <f t="shared" si="194"/>
        <v>0.64523856744889885</v>
      </c>
      <c r="I286" s="109">
        <v>174458</v>
      </c>
      <c r="J286" s="149">
        <v>112567.03</v>
      </c>
      <c r="K286" s="105">
        <f t="shared" si="195"/>
        <v>0.64523856744889885</v>
      </c>
      <c r="L286" s="147"/>
      <c r="M286" s="164"/>
      <c r="N286" s="164"/>
      <c r="O286" s="50"/>
      <c r="P286" s="164"/>
      <c r="Q286" s="127"/>
      <c r="R286" s="147"/>
      <c r="S286" s="238"/>
      <c r="T286" s="147"/>
      <c r="U286" s="164"/>
      <c r="V286" s="164"/>
      <c r="W286" s="50"/>
      <c r="X286" s="164"/>
    </row>
    <row r="287" spans="1:24">
      <c r="A287"/>
      <c r="B287" s="34"/>
      <c r="C287" s="34"/>
      <c r="D287" s="72" t="s">
        <v>52</v>
      </c>
      <c r="E287" s="82" t="s">
        <v>53</v>
      </c>
      <c r="F287" s="96">
        <f t="shared" si="192"/>
        <v>282455</v>
      </c>
      <c r="G287" s="100">
        <f t="shared" si="193"/>
        <v>124348.56</v>
      </c>
      <c r="H287" s="105">
        <f t="shared" si="194"/>
        <v>0.44024202085287922</v>
      </c>
      <c r="I287" s="109">
        <v>282455</v>
      </c>
      <c r="J287" s="149">
        <v>124348.56</v>
      </c>
      <c r="K287" s="105">
        <f t="shared" si="195"/>
        <v>0.44024202085287922</v>
      </c>
      <c r="L287" s="147"/>
      <c r="M287" s="164"/>
      <c r="N287" s="164"/>
      <c r="O287" s="50"/>
      <c r="P287" s="164"/>
      <c r="Q287" s="127"/>
      <c r="R287" s="147"/>
      <c r="S287" s="238"/>
      <c r="T287" s="147"/>
      <c r="U287" s="164"/>
      <c r="V287" s="164"/>
      <c r="W287" s="50"/>
      <c r="X287" s="164"/>
    </row>
    <row r="288" spans="1:24">
      <c r="A288"/>
      <c r="B288" s="34"/>
      <c r="C288" s="34"/>
      <c r="D288" s="72" t="s">
        <v>29</v>
      </c>
      <c r="E288" s="82" t="s">
        <v>163</v>
      </c>
      <c r="F288" s="96">
        <f t="shared" si="192"/>
        <v>0</v>
      </c>
      <c r="G288" s="100">
        <f t="shared" si="193"/>
        <v>120.86</v>
      </c>
      <c r="H288" s="105"/>
      <c r="I288" s="109">
        <v>0</v>
      </c>
      <c r="J288" s="149">
        <v>120.86</v>
      </c>
      <c r="K288" s="105"/>
      <c r="L288" s="147"/>
      <c r="M288" s="164"/>
      <c r="N288" s="164"/>
      <c r="O288" s="50"/>
      <c r="P288" s="164"/>
      <c r="Q288" s="127"/>
      <c r="R288" s="147"/>
      <c r="S288" s="238"/>
      <c r="T288" s="147"/>
      <c r="U288" s="164"/>
      <c r="V288" s="164"/>
      <c r="W288" s="50"/>
      <c r="X288" s="164"/>
    </row>
    <row r="289" spans="1:24">
      <c r="A289"/>
      <c r="B289" s="34"/>
      <c r="C289" s="34"/>
      <c r="D289" s="72" t="s">
        <v>16</v>
      </c>
      <c r="E289" s="82" t="s">
        <v>168</v>
      </c>
      <c r="F289" s="96">
        <f t="shared" si="192"/>
        <v>44049</v>
      </c>
      <c r="G289" s="100">
        <f t="shared" si="193"/>
        <v>77359</v>
      </c>
      <c r="H289" s="105">
        <f t="shared" si="194"/>
        <v>1.7562033190310791</v>
      </c>
      <c r="I289" s="109">
        <v>44049</v>
      </c>
      <c r="J289" s="149">
        <v>77359</v>
      </c>
      <c r="K289" s="105">
        <f t="shared" si="195"/>
        <v>1.7562033190310791</v>
      </c>
      <c r="L289" s="147"/>
      <c r="M289" s="164"/>
      <c r="N289" s="164"/>
      <c r="O289" s="50"/>
      <c r="P289" s="164"/>
      <c r="Q289" s="127"/>
      <c r="R289" s="147"/>
      <c r="S289" s="238"/>
      <c r="T289" s="147"/>
      <c r="U289" s="164"/>
      <c r="V289" s="164"/>
      <c r="W289" s="50"/>
      <c r="X289" s="164"/>
    </row>
    <row r="290" spans="1:24">
      <c r="A290"/>
      <c r="B290" s="34"/>
      <c r="C290" s="34"/>
      <c r="D290" s="70" t="s">
        <v>7</v>
      </c>
      <c r="E290" s="79" t="s">
        <v>8</v>
      </c>
      <c r="F290" s="96">
        <f t="shared" si="192"/>
        <v>0</v>
      </c>
      <c r="G290" s="100">
        <f t="shared" si="193"/>
        <v>58</v>
      </c>
      <c r="H290" s="105"/>
      <c r="I290" s="109">
        <v>0</v>
      </c>
      <c r="J290" s="149">
        <v>58</v>
      </c>
      <c r="K290" s="105"/>
      <c r="L290" s="147"/>
      <c r="M290" s="164"/>
      <c r="N290" s="164"/>
      <c r="O290" s="50"/>
      <c r="P290" s="164"/>
      <c r="Q290" s="127"/>
      <c r="R290" s="147"/>
      <c r="S290" s="238"/>
      <c r="T290" s="147"/>
      <c r="U290" s="164"/>
      <c r="V290" s="164"/>
      <c r="W290" s="50"/>
      <c r="X290" s="164"/>
    </row>
    <row r="291" spans="1:24" s="5" customFormat="1">
      <c r="A291" s="9"/>
      <c r="B291" s="36">
        <v>900</v>
      </c>
      <c r="C291" s="36"/>
      <c r="D291" s="71"/>
      <c r="E291" s="81" t="s">
        <v>82</v>
      </c>
      <c r="F291" s="97">
        <f t="shared" si="183"/>
        <v>274256</v>
      </c>
      <c r="G291" s="101">
        <f t="shared" si="184"/>
        <v>264637.01</v>
      </c>
      <c r="H291" s="106">
        <f t="shared" si="170"/>
        <v>0.96492696604632167</v>
      </c>
      <c r="I291" s="110">
        <f>SUM(I292+I294)</f>
        <v>171000</v>
      </c>
      <c r="J291" s="145">
        <f>SUM(J292+J294)</f>
        <v>160956.73000000001</v>
      </c>
      <c r="K291" s="106">
        <f t="shared" si="179"/>
        <v>0.94126742690058485</v>
      </c>
      <c r="L291" s="145">
        <f>SUM(L292+L294)</f>
        <v>0</v>
      </c>
      <c r="M291" s="166">
        <f t="shared" ref="M291:X291" si="202">SUM(M292)</f>
        <v>160956.73000000001</v>
      </c>
      <c r="N291" s="166">
        <f t="shared" si="202"/>
        <v>0</v>
      </c>
      <c r="O291" s="52">
        <f t="shared" si="202"/>
        <v>0</v>
      </c>
      <c r="P291" s="166">
        <f t="shared" si="202"/>
        <v>0</v>
      </c>
      <c r="Q291" s="129">
        <f>SUM(Q292+Q294)</f>
        <v>103256</v>
      </c>
      <c r="R291" s="145">
        <f>SUM(R292+R294)</f>
        <v>103680.28</v>
      </c>
      <c r="S291" s="239">
        <f t="shared" si="181"/>
        <v>1.0041090106143953</v>
      </c>
      <c r="T291" s="145">
        <f>SUM(T292+T294)</f>
        <v>103680.28</v>
      </c>
      <c r="U291" s="166">
        <f t="shared" si="202"/>
        <v>0</v>
      </c>
      <c r="V291" s="166">
        <f t="shared" si="202"/>
        <v>0</v>
      </c>
      <c r="W291" s="52">
        <f t="shared" si="202"/>
        <v>0</v>
      </c>
      <c r="X291" s="166">
        <f t="shared" si="202"/>
        <v>0</v>
      </c>
    </row>
    <row r="292" spans="1:24" s="6" customFormat="1">
      <c r="A292" s="229"/>
      <c r="B292" s="33"/>
      <c r="C292" s="33">
        <v>90019</v>
      </c>
      <c r="D292" s="67"/>
      <c r="E292" s="78" t="s">
        <v>83</v>
      </c>
      <c r="F292" s="95">
        <f t="shared" si="183"/>
        <v>171000</v>
      </c>
      <c r="G292" s="99">
        <f t="shared" si="184"/>
        <v>160956.73000000001</v>
      </c>
      <c r="H292" s="104">
        <f t="shared" si="170"/>
        <v>0.94126742690058485</v>
      </c>
      <c r="I292" s="111">
        <f>SUM(I293:I293)</f>
        <v>171000</v>
      </c>
      <c r="J292" s="146">
        <f>SUM(J293:J293)</f>
        <v>160956.73000000001</v>
      </c>
      <c r="K292" s="104">
        <f t="shared" si="179"/>
        <v>0.94126742690058485</v>
      </c>
      <c r="L292" s="146">
        <f t="shared" ref="L292:R292" si="203">SUM(L293:L293)</f>
        <v>0</v>
      </c>
      <c r="M292" s="168">
        <f t="shared" si="203"/>
        <v>160956.73000000001</v>
      </c>
      <c r="N292" s="168">
        <f t="shared" si="203"/>
        <v>0</v>
      </c>
      <c r="O292" s="53">
        <f t="shared" si="203"/>
        <v>0</v>
      </c>
      <c r="P292" s="168">
        <f t="shared" si="203"/>
        <v>0</v>
      </c>
      <c r="Q292" s="130">
        <f t="shared" si="203"/>
        <v>0</v>
      </c>
      <c r="R292" s="146">
        <f t="shared" si="203"/>
        <v>0</v>
      </c>
      <c r="S292" s="237"/>
      <c r="T292" s="146">
        <f>SUM(T293:T293)</f>
        <v>0</v>
      </c>
      <c r="U292" s="168">
        <f>SUM(U293:U293)</f>
        <v>0</v>
      </c>
      <c r="V292" s="168">
        <f>SUM(V293:V293)</f>
        <v>0</v>
      </c>
      <c r="W292" s="53">
        <f>SUM(W293:W293)</f>
        <v>0</v>
      </c>
      <c r="X292" s="168">
        <f>SUM(X293:X293)</f>
        <v>0</v>
      </c>
    </row>
    <row r="293" spans="1:24">
      <c r="B293" s="34"/>
      <c r="C293" s="34"/>
      <c r="D293" s="72" t="s">
        <v>12</v>
      </c>
      <c r="E293" s="79" t="s">
        <v>13</v>
      </c>
      <c r="F293" s="96">
        <f t="shared" si="183"/>
        <v>171000</v>
      </c>
      <c r="G293" s="100">
        <f t="shared" si="184"/>
        <v>160956.73000000001</v>
      </c>
      <c r="H293" s="105">
        <f t="shared" si="170"/>
        <v>0.94126742690058485</v>
      </c>
      <c r="I293" s="112">
        <v>171000</v>
      </c>
      <c r="J293" s="147">
        <v>160956.73000000001</v>
      </c>
      <c r="K293" s="105">
        <f t="shared" si="179"/>
        <v>0.94126742690058485</v>
      </c>
      <c r="L293" s="147"/>
      <c r="M293" s="164">
        <v>160956.73000000001</v>
      </c>
      <c r="N293" s="164"/>
      <c r="O293" s="50"/>
      <c r="P293" s="164"/>
      <c r="Q293" s="127"/>
      <c r="R293" s="147"/>
      <c r="S293" s="238"/>
      <c r="T293" s="147"/>
      <c r="U293" s="164"/>
      <c r="V293" s="164"/>
      <c r="W293" s="50"/>
      <c r="X293" s="164"/>
    </row>
    <row r="294" spans="1:24">
      <c r="B294" s="37"/>
      <c r="C294" s="37">
        <v>90095</v>
      </c>
      <c r="D294" s="73"/>
      <c r="E294" s="83" t="s">
        <v>64</v>
      </c>
      <c r="F294" s="95">
        <f>SUM(I294+Q294)</f>
        <v>103256</v>
      </c>
      <c r="G294" s="99">
        <f>SUM(J294+R294)</f>
        <v>103680.28</v>
      </c>
      <c r="H294" s="104">
        <f>SUM(G294/F294)</f>
        <v>1.0041090106143953</v>
      </c>
      <c r="I294" s="95">
        <f>SUM(I295:I299)</f>
        <v>0</v>
      </c>
      <c r="J294" s="99">
        <f>SUM(J295:J299)</f>
        <v>0</v>
      </c>
      <c r="K294" s="104"/>
      <c r="L294" s="99">
        <f t="shared" ref="L294:R294" si="204">SUM(L295:L299)</f>
        <v>0</v>
      </c>
      <c r="M294" s="171">
        <f t="shared" si="204"/>
        <v>0</v>
      </c>
      <c r="N294" s="171">
        <f t="shared" si="204"/>
        <v>0</v>
      </c>
      <c r="O294" s="56">
        <f t="shared" si="204"/>
        <v>0</v>
      </c>
      <c r="P294" s="171">
        <f t="shared" si="204"/>
        <v>0</v>
      </c>
      <c r="Q294" s="135">
        <f t="shared" si="204"/>
        <v>103256</v>
      </c>
      <c r="R294" s="99">
        <f t="shared" si="204"/>
        <v>103680.28</v>
      </c>
      <c r="S294" s="237">
        <f t="shared" si="181"/>
        <v>1.0041090106143953</v>
      </c>
      <c r="T294" s="99">
        <f>SUM(T295:T299)</f>
        <v>103680.28</v>
      </c>
      <c r="U294" s="171">
        <f>SUM(U295:U299)</f>
        <v>0</v>
      </c>
      <c r="V294" s="171">
        <f>SUM(V295:V299)</f>
        <v>0</v>
      </c>
      <c r="W294" s="56">
        <f>SUM(W295:W299)</f>
        <v>0</v>
      </c>
      <c r="X294" s="171">
        <f>SUM(X295:X299)</f>
        <v>0</v>
      </c>
    </row>
    <row r="295" spans="1:24" hidden="1">
      <c r="B295" s="34"/>
      <c r="C295" s="34"/>
      <c r="D295" s="70" t="s">
        <v>55</v>
      </c>
      <c r="E295" s="79" t="s">
        <v>106</v>
      </c>
      <c r="F295" s="96">
        <f t="shared" ref="F295:F299" si="205">SUM(I295+Q295)</f>
        <v>0</v>
      </c>
      <c r="G295" s="100">
        <f t="shared" ref="G295:G298" si="206">SUM(J295+R295)</f>
        <v>0</v>
      </c>
      <c r="H295" s="105" t="e">
        <f t="shared" ref="H295:H299" si="207">SUM(G295/F295)</f>
        <v>#DIV/0!</v>
      </c>
      <c r="I295" s="112"/>
      <c r="J295" s="147"/>
      <c r="K295" s="105" t="e">
        <f>SUM(J295/I295)</f>
        <v>#DIV/0!</v>
      </c>
      <c r="L295" s="147"/>
      <c r="M295" s="164"/>
      <c r="N295" s="164"/>
      <c r="O295" s="50"/>
      <c r="P295" s="164"/>
      <c r="Q295" s="127"/>
      <c r="R295" s="147"/>
      <c r="S295" s="238"/>
      <c r="T295" s="147"/>
      <c r="U295" s="164"/>
      <c r="V295" s="164"/>
      <c r="W295" s="50"/>
      <c r="X295" s="164"/>
    </row>
    <row r="296" spans="1:24" hidden="1">
      <c r="B296" s="34"/>
      <c r="C296" s="34"/>
      <c r="D296" s="70" t="s">
        <v>156</v>
      </c>
      <c r="E296" s="79" t="s">
        <v>106</v>
      </c>
      <c r="F296" s="96">
        <f t="shared" si="205"/>
        <v>0</v>
      </c>
      <c r="G296" s="100">
        <f t="shared" si="206"/>
        <v>0</v>
      </c>
      <c r="H296" s="105" t="e">
        <f t="shared" si="207"/>
        <v>#DIV/0!</v>
      </c>
      <c r="I296" s="112"/>
      <c r="J296" s="147"/>
      <c r="K296" s="105" t="e">
        <f>SUM(J296/I296)</f>
        <v>#DIV/0!</v>
      </c>
      <c r="L296" s="147"/>
      <c r="M296" s="164"/>
      <c r="N296" s="164"/>
      <c r="O296" s="50"/>
      <c r="P296" s="164"/>
      <c r="Q296" s="127"/>
      <c r="R296" s="147"/>
      <c r="S296" s="238"/>
      <c r="T296" s="147"/>
      <c r="U296" s="164"/>
      <c r="V296" s="164"/>
      <c r="W296" s="50"/>
      <c r="X296" s="164"/>
    </row>
    <row r="297" spans="1:24" hidden="1">
      <c r="B297" s="34"/>
      <c r="C297" s="34"/>
      <c r="D297" s="70" t="s">
        <v>25</v>
      </c>
      <c r="E297" s="79" t="s">
        <v>192</v>
      </c>
      <c r="F297" s="96">
        <f t="shared" si="205"/>
        <v>0</v>
      </c>
      <c r="G297" s="100">
        <f t="shared" si="206"/>
        <v>0</v>
      </c>
      <c r="H297" s="105" t="e">
        <f t="shared" si="207"/>
        <v>#DIV/0!</v>
      </c>
      <c r="I297" s="112"/>
      <c r="J297" s="147"/>
      <c r="K297" s="105"/>
      <c r="L297" s="147"/>
      <c r="M297" s="164"/>
      <c r="N297" s="164"/>
      <c r="O297" s="50"/>
      <c r="P297" s="164"/>
      <c r="Q297" s="127"/>
      <c r="R297" s="147"/>
      <c r="S297" s="238"/>
      <c r="T297" s="147"/>
      <c r="U297" s="164"/>
      <c r="V297" s="164"/>
      <c r="W297" s="50"/>
      <c r="X297" s="164"/>
    </row>
    <row r="298" spans="1:24" hidden="1">
      <c r="B298" s="34"/>
      <c r="C298" s="34"/>
      <c r="D298" s="70" t="s">
        <v>18</v>
      </c>
      <c r="E298" s="82" t="s">
        <v>106</v>
      </c>
      <c r="F298" s="96">
        <f t="shared" si="205"/>
        <v>0</v>
      </c>
      <c r="G298" s="100">
        <f t="shared" si="206"/>
        <v>0</v>
      </c>
      <c r="H298" s="105" t="e">
        <f t="shared" si="207"/>
        <v>#DIV/0!</v>
      </c>
      <c r="I298" s="112"/>
      <c r="J298" s="147"/>
      <c r="K298" s="105"/>
      <c r="L298" s="147"/>
      <c r="M298" s="164"/>
      <c r="N298" s="164"/>
      <c r="O298" s="50"/>
      <c r="P298" s="164"/>
      <c r="Q298" s="127"/>
      <c r="R298" s="147"/>
      <c r="S298" s="238" t="e">
        <f>SUM(R298/Q298)</f>
        <v>#DIV/0!</v>
      </c>
      <c r="T298" s="147"/>
      <c r="U298" s="164"/>
      <c r="V298" s="164"/>
      <c r="W298" s="50"/>
      <c r="X298" s="164"/>
    </row>
    <row r="299" spans="1:24">
      <c r="B299" s="34"/>
      <c r="C299" s="34"/>
      <c r="D299" s="70" t="s">
        <v>160</v>
      </c>
      <c r="E299" s="82" t="s">
        <v>106</v>
      </c>
      <c r="F299" s="96">
        <f t="shared" si="205"/>
        <v>103256</v>
      </c>
      <c r="G299" s="100">
        <f>SUM(J299+R299)</f>
        <v>103680.28</v>
      </c>
      <c r="H299" s="105">
        <f t="shared" si="207"/>
        <v>1.0041090106143953</v>
      </c>
      <c r="I299" s="112"/>
      <c r="J299" s="147"/>
      <c r="K299" s="105"/>
      <c r="L299" s="147"/>
      <c r="M299" s="164"/>
      <c r="N299" s="164"/>
      <c r="O299" s="50"/>
      <c r="P299" s="164"/>
      <c r="Q299" s="127">
        <v>103256</v>
      </c>
      <c r="R299" s="147">
        <v>103680.28</v>
      </c>
      <c r="S299" s="238">
        <f>SUM(R299/Q299)</f>
        <v>1.0041090106143953</v>
      </c>
      <c r="T299" s="147">
        <v>103680.28</v>
      </c>
      <c r="U299" s="164"/>
      <c r="V299" s="164"/>
      <c r="W299" s="50"/>
      <c r="X299" s="164"/>
    </row>
    <row r="300" spans="1:24" hidden="1">
      <c r="B300" s="38">
        <v>926</v>
      </c>
      <c r="C300" s="38"/>
      <c r="D300" s="74"/>
      <c r="E300" s="92" t="s">
        <v>125</v>
      </c>
      <c r="F300" s="97">
        <f t="shared" si="183"/>
        <v>0</v>
      </c>
      <c r="G300" s="101">
        <f t="shared" si="184"/>
        <v>0</v>
      </c>
      <c r="H300" s="106" t="e">
        <f t="shared" si="170"/>
        <v>#DIV/0!</v>
      </c>
      <c r="I300" s="123">
        <f>SUM(I301)</f>
        <v>0</v>
      </c>
      <c r="J300" s="160">
        <f t="shared" ref="J300:X300" si="208">SUM(J301)</f>
        <v>0</v>
      </c>
      <c r="K300" s="106"/>
      <c r="L300" s="160">
        <f t="shared" si="208"/>
        <v>0</v>
      </c>
      <c r="M300" s="180">
        <f t="shared" si="208"/>
        <v>0</v>
      </c>
      <c r="N300" s="180">
        <f t="shared" si="208"/>
        <v>0</v>
      </c>
      <c r="O300" s="62">
        <f t="shared" si="208"/>
        <v>0</v>
      </c>
      <c r="P300" s="180">
        <f t="shared" si="208"/>
        <v>0</v>
      </c>
      <c r="Q300" s="141">
        <f t="shared" si="208"/>
        <v>0</v>
      </c>
      <c r="R300" s="160">
        <f t="shared" si="208"/>
        <v>0</v>
      </c>
      <c r="S300" s="239" t="e">
        <f t="shared" si="181"/>
        <v>#DIV/0!</v>
      </c>
      <c r="T300" s="160">
        <f t="shared" si="208"/>
        <v>0</v>
      </c>
      <c r="U300" s="180">
        <f t="shared" si="208"/>
        <v>0</v>
      </c>
      <c r="V300" s="180">
        <f t="shared" si="208"/>
        <v>0</v>
      </c>
      <c r="W300" s="62">
        <f t="shared" si="208"/>
        <v>0</v>
      </c>
      <c r="X300" s="180">
        <f t="shared" si="208"/>
        <v>0</v>
      </c>
    </row>
    <row r="301" spans="1:24" hidden="1">
      <c r="B301" s="37"/>
      <c r="C301" s="37">
        <v>92695</v>
      </c>
      <c r="D301" s="73"/>
      <c r="E301" s="83" t="s">
        <v>64</v>
      </c>
      <c r="F301" s="95">
        <f>SUM(F302:F302)</f>
        <v>0</v>
      </c>
      <c r="G301" s="99">
        <f>SUM(G302:G302)</f>
        <v>0</v>
      </c>
      <c r="H301" s="104" t="e">
        <f>SUM(H302:H302)</f>
        <v>#DIV/0!</v>
      </c>
      <c r="I301" s="95">
        <f>SUM(I302:I302)</f>
        <v>0</v>
      </c>
      <c r="J301" s="99">
        <f>SUM(J302:J302)</f>
        <v>0</v>
      </c>
      <c r="K301" s="104"/>
      <c r="L301" s="99">
        <f t="shared" ref="L301:R301" si="209">SUM(L302:L302)</f>
        <v>0</v>
      </c>
      <c r="M301" s="171">
        <f t="shared" si="209"/>
        <v>0</v>
      </c>
      <c r="N301" s="171">
        <f t="shared" si="209"/>
        <v>0</v>
      </c>
      <c r="O301" s="56">
        <f t="shared" si="209"/>
        <v>0</v>
      </c>
      <c r="P301" s="171">
        <f t="shared" si="209"/>
        <v>0</v>
      </c>
      <c r="Q301" s="135">
        <f t="shared" si="209"/>
        <v>0</v>
      </c>
      <c r="R301" s="99">
        <f t="shared" si="209"/>
        <v>0</v>
      </c>
      <c r="S301" s="237" t="e">
        <f t="shared" si="181"/>
        <v>#DIV/0!</v>
      </c>
      <c r="T301" s="99">
        <f>SUM(T302:T302)</f>
        <v>0</v>
      </c>
      <c r="U301" s="171">
        <f>SUM(U302:U302)</f>
        <v>0</v>
      </c>
      <c r="V301" s="171">
        <f>SUM(V302:V302)</f>
        <v>0</v>
      </c>
      <c r="W301" s="56">
        <f>SUM(W302:W302)</f>
        <v>0</v>
      </c>
      <c r="X301" s="171">
        <f>SUM(X302:X302)</f>
        <v>0</v>
      </c>
    </row>
    <row r="302" spans="1:24" hidden="1">
      <c r="B302" s="34"/>
      <c r="C302" s="34"/>
      <c r="D302" s="70" t="s">
        <v>102</v>
      </c>
      <c r="E302" s="82" t="s">
        <v>107</v>
      </c>
      <c r="F302" s="96"/>
      <c r="G302" s="100"/>
      <c r="H302" s="105" t="e">
        <f t="shared" si="170"/>
        <v>#DIV/0!</v>
      </c>
      <c r="I302" s="112">
        <v>0</v>
      </c>
      <c r="J302" s="147"/>
      <c r="K302" s="105"/>
      <c r="L302" s="147"/>
      <c r="M302" s="164"/>
      <c r="N302" s="164"/>
      <c r="O302" s="50"/>
      <c r="P302" s="164"/>
      <c r="Q302" s="127"/>
      <c r="R302" s="147"/>
      <c r="S302" s="238" t="e">
        <f t="shared" si="181"/>
        <v>#DIV/0!</v>
      </c>
      <c r="T302" s="147"/>
      <c r="U302" s="164"/>
      <c r="V302" s="164"/>
      <c r="W302" s="50"/>
      <c r="X302" s="164"/>
    </row>
    <row r="303" spans="1:24" ht="15" customHeight="1" thickBot="1">
      <c r="B303" s="182"/>
      <c r="C303" s="182"/>
      <c r="D303" s="182"/>
      <c r="E303" s="183" t="s">
        <v>84</v>
      </c>
      <c r="F303" s="184">
        <f>SUM(I303+Q303)</f>
        <v>106055737</v>
      </c>
      <c r="G303" s="185">
        <f>SUM(J303+R303)</f>
        <v>49861440.380000018</v>
      </c>
      <c r="H303" s="186">
        <f t="shared" si="170"/>
        <v>0.47014373564722878</v>
      </c>
      <c r="I303" s="184">
        <f>SUM(I300+I291+I83+I257+I237+I193+I185+I124+I111+I103+I88+I71+I57+I45+I19+I16+I13+I8+I100+I277+I40)</f>
        <v>78368649</v>
      </c>
      <c r="J303" s="185">
        <f>SUM(J300+J291+J83+J257+J237+J193+J185+J124+J111+J103+J88+J71+J57+J45+J19+J16+J13+J8+J100+J277+J40)</f>
        <v>44485582.060000017</v>
      </c>
      <c r="K303" s="196">
        <f>SUM(J303/I303)</f>
        <v>0.56764513140962802</v>
      </c>
      <c r="L303" s="185">
        <f>SUM(L300+L291+L257+L237+L193+L185+L124+L111+L103+L88+L71+L57+L45+L19+L16+L13+L8+L277+L40)</f>
        <v>3396507.5599999996</v>
      </c>
      <c r="M303" s="185">
        <f>SUM(M300+M291+M257+M237+M193+M185+M124+M111+M103+M88+M71+M57+M45+M19+M16+M13+M8+M277+M40)</f>
        <v>160956.73000000001</v>
      </c>
      <c r="N303" s="185">
        <f>SUM(N300+N291+N257+N237+N193+N185+N124+N111+N103+N88+N71+N83+N57+N45+N19+N16+N13+N8+N277+N40+N100)</f>
        <v>5565629.2700000005</v>
      </c>
      <c r="O303" s="185">
        <f>SUM(O300+O291+O257+O237+O193+O185+O124+O111+O103+O88+O71+O57+O45+O19+O16+O13+O8+O277+O40)</f>
        <v>163579.20000000001</v>
      </c>
      <c r="P303" s="185">
        <f>SUM(P300+P291+P257+P237+P193+P185+P124+P111+P103+P88+P71+P57+P45+P19+P16+P13+P8+P277+P40)</f>
        <v>0</v>
      </c>
      <c r="Q303" s="185">
        <f>SUM(Q300+Q291+Q257+Q237+Q193+Q185+Q124+Q111+Q103+Q88+Q71+Q57+Q45+Q19+Q16+Q13+Q8+Q277+Q40)</f>
        <v>27687088</v>
      </c>
      <c r="R303" s="185">
        <f>SUM(R300+R291+R257+R237+R193+R185+R124+R111+R103+R88+R71+R57+R45+R19+R16+R13+R8+R277+R40)</f>
        <v>5375858.3200000003</v>
      </c>
      <c r="S303" s="244">
        <f t="shared" si="181"/>
        <v>0.19416481502135582</v>
      </c>
      <c r="T303" s="185">
        <f>SUM(T300+T291+T257+T237+T193+T185+T124+T111+T103+T88+T71+T57+T45+T19+T16+T13+T8)</f>
        <v>4731328.41</v>
      </c>
      <c r="U303" s="187">
        <f>SUM(U300+U291+U257+U237+U193+U185+U124+U111+U103+U88+U71+U57+U45+U19+U16+U13+U8)</f>
        <v>0</v>
      </c>
      <c r="V303" s="187">
        <f>SUM(V300+V291+V257+V237+V193+V185+V124+V111+V103+V88+V71+V57+V45+V19+V16+V13+V8)</f>
        <v>18200</v>
      </c>
      <c r="W303" s="188">
        <f>SUM(W300+W291+W257+W237+W193+W185+W124+W111+W103+W88+W71+W57+W45+W19+W16+W13+W8)</f>
        <v>0</v>
      </c>
      <c r="X303" s="187">
        <f>SUM(X300+X291+X257+X237+X193+X185+X124+X111+X103+X88+X71+X57+X45+X19+X16+X13+X8)</f>
        <v>0</v>
      </c>
    </row>
    <row r="304" spans="1:24">
      <c r="B304" s="189"/>
      <c r="C304" s="189"/>
      <c r="D304" s="189"/>
      <c r="E304" s="190" t="s">
        <v>98</v>
      </c>
      <c r="F304" s="233">
        <f>SUM(F305:F306)</f>
        <v>14334678</v>
      </c>
      <c r="G304" s="191">
        <f>SUM(G305:G306)</f>
        <v>3194905.8</v>
      </c>
      <c r="H304" s="192">
        <f t="shared" si="170"/>
        <v>0.22287949544454363</v>
      </c>
      <c r="I304" s="273">
        <f>SUM(I305:I306)</f>
        <v>14334678</v>
      </c>
      <c r="J304" s="191">
        <f>SUM(J305:J306)</f>
        <v>3194905.8</v>
      </c>
      <c r="K304" s="192"/>
      <c r="L304" s="190"/>
      <c r="M304" s="193"/>
      <c r="N304" s="193"/>
      <c r="O304" s="194"/>
      <c r="P304" s="193"/>
      <c r="Q304" s="195"/>
      <c r="R304" s="190"/>
      <c r="S304" s="245"/>
      <c r="T304" s="190"/>
      <c r="U304" s="193"/>
      <c r="V304" s="193"/>
      <c r="W304" s="194"/>
      <c r="X304" s="193"/>
    </row>
    <row r="305" spans="1:24">
      <c r="B305" s="46"/>
      <c r="C305" s="46"/>
      <c r="D305" s="77">
        <v>950</v>
      </c>
      <c r="E305" s="46" t="s">
        <v>110</v>
      </c>
      <c r="F305" s="96">
        <f t="shared" ref="F305:F306" si="210">SUM(I305+Q305)</f>
        <v>532211</v>
      </c>
      <c r="G305" s="100">
        <f>SUM(J305+R305)</f>
        <v>532211.80000000005</v>
      </c>
      <c r="H305" s="105">
        <f t="shared" si="170"/>
        <v>1.0000015031632192</v>
      </c>
      <c r="I305" s="112">
        <v>532211</v>
      </c>
      <c r="J305" s="147">
        <v>532211.80000000005</v>
      </c>
      <c r="K305" s="105"/>
      <c r="L305" s="147"/>
      <c r="M305" s="164"/>
      <c r="N305" s="164"/>
      <c r="O305" s="50"/>
      <c r="P305" s="164"/>
      <c r="Q305" s="127"/>
      <c r="R305" s="147"/>
      <c r="S305" s="238"/>
      <c r="T305" s="147"/>
      <c r="U305" s="164"/>
      <c r="V305" s="164"/>
      <c r="W305" s="50"/>
      <c r="X305" s="164"/>
    </row>
    <row r="306" spans="1:24">
      <c r="B306" s="46"/>
      <c r="C306" s="46"/>
      <c r="D306" s="77">
        <v>952</v>
      </c>
      <c r="E306" s="46" t="s">
        <v>100</v>
      </c>
      <c r="F306" s="96">
        <f t="shared" si="210"/>
        <v>13802467</v>
      </c>
      <c r="G306" s="100">
        <f>SUM(J306+R306)</f>
        <v>2662694</v>
      </c>
      <c r="H306" s="105">
        <f t="shared" si="170"/>
        <v>0.192914353644171</v>
      </c>
      <c r="I306" s="112">
        <v>13802467</v>
      </c>
      <c r="J306" s="147">
        <v>2662694</v>
      </c>
      <c r="K306" s="105"/>
      <c r="L306" s="147"/>
      <c r="M306" s="164"/>
      <c r="N306" s="164"/>
      <c r="O306" s="50"/>
      <c r="P306" s="164"/>
      <c r="Q306" s="127"/>
      <c r="R306" s="147"/>
      <c r="S306" s="238"/>
      <c r="T306" s="147"/>
      <c r="U306" s="164"/>
      <c r="V306" s="164"/>
      <c r="W306" s="50"/>
      <c r="X306" s="164"/>
    </row>
    <row r="307" spans="1:24" ht="13.5" thickBot="1">
      <c r="A307"/>
      <c r="B307" s="47"/>
      <c r="C307" s="47"/>
      <c r="D307" s="47"/>
      <c r="E307" s="93" t="s">
        <v>99</v>
      </c>
      <c r="F307" s="234">
        <f>SUM(F303+F304)</f>
        <v>120390415</v>
      </c>
      <c r="G307" s="102">
        <f>SUM(G303+G304)</f>
        <v>53056346.180000015</v>
      </c>
      <c r="H307" s="107">
        <f t="shared" si="170"/>
        <v>0.44070241123431642</v>
      </c>
      <c r="I307" s="124">
        <f>SUM(I303)</f>
        <v>78368649</v>
      </c>
      <c r="J307" s="93">
        <f>SUM(J303)</f>
        <v>44485582.060000017</v>
      </c>
      <c r="K307" s="107">
        <f t="shared" si="179"/>
        <v>0.56764513140962802</v>
      </c>
      <c r="L307" s="93">
        <f t="shared" ref="L307:R307" si="211">SUM(L303)</f>
        <v>3396507.5599999996</v>
      </c>
      <c r="M307" s="181">
        <f t="shared" si="211"/>
        <v>160956.73000000001</v>
      </c>
      <c r="N307" s="181">
        <f>SUM(N303)</f>
        <v>5565629.2700000005</v>
      </c>
      <c r="O307" s="64">
        <f t="shared" si="211"/>
        <v>163579.20000000001</v>
      </c>
      <c r="P307" s="181">
        <f t="shared" si="211"/>
        <v>0</v>
      </c>
      <c r="Q307" s="142">
        <f>SUM(Q303)</f>
        <v>27687088</v>
      </c>
      <c r="R307" s="93">
        <f t="shared" si="211"/>
        <v>5375858.3200000003</v>
      </c>
      <c r="S307" s="246">
        <f t="shared" si="181"/>
        <v>0.19416481502135582</v>
      </c>
      <c r="T307" s="93">
        <f>SUM(T303)</f>
        <v>4731328.41</v>
      </c>
      <c r="U307" s="181">
        <f>SUM(U303)</f>
        <v>0</v>
      </c>
      <c r="V307" s="181">
        <f>SUM(V303)</f>
        <v>18200</v>
      </c>
      <c r="W307" s="64">
        <f>SUM(W303)</f>
        <v>0</v>
      </c>
      <c r="X307" s="181">
        <f>SUM(X303)</f>
        <v>0</v>
      </c>
    </row>
    <row r="308" spans="1:24" ht="42.75" customHeight="1">
      <c r="A308"/>
      <c r="F308" s="25">
        <v>106055737</v>
      </c>
      <c r="G308" s="3">
        <v>49861440.380000003</v>
      </c>
    </row>
    <row r="309" spans="1:24">
      <c r="A309"/>
      <c r="E309" s="3"/>
      <c r="I309" s="261">
        <f>98437297+205000+40120+10350+53520+61733+71594+168549+129000+214056+1059184+148100+43989+90200+2390+38476+31652+2583308+2610723+12447+44049</f>
        <v>106055737</v>
      </c>
      <c r="J309" s="260">
        <f>45824376.41+76638.6+36.58+562.33+17.97+29919.17+7524.78+18440.55+56114.96+62077.29+79088.39+107433.32+129637.19+512356.87+105263.97+26934.4+35242.54+16362.42+17460.46+17967.58+1297311.34+1357254.01+85.66+114.45+123.65+5557.63+77537.86</f>
        <v>49861440.379999988</v>
      </c>
    </row>
    <row r="311" spans="1:24">
      <c r="A311"/>
      <c r="E311" s="3"/>
      <c r="F311" s="267">
        <f>F308-F307</f>
        <v>-14334678</v>
      </c>
      <c r="G311" s="267">
        <f>G308-G307</f>
        <v>-3194905.8000000119</v>
      </c>
      <c r="I311" s="263">
        <f>I309-(Q307+I307)</f>
        <v>0</v>
      </c>
      <c r="J311" s="263">
        <f>J309-(R307+J307)</f>
        <v>0</v>
      </c>
    </row>
  </sheetData>
  <mergeCells count="15">
    <mergeCell ref="B1:X1"/>
    <mergeCell ref="B2:X2"/>
    <mergeCell ref="H3:H6"/>
    <mergeCell ref="B3:B6"/>
    <mergeCell ref="C3:C6"/>
    <mergeCell ref="D3:D6"/>
    <mergeCell ref="E3:E6"/>
    <mergeCell ref="F3:F6"/>
    <mergeCell ref="G3:G6"/>
    <mergeCell ref="I5:L5"/>
    <mergeCell ref="I4:L4"/>
    <mergeCell ref="M5:P5"/>
    <mergeCell ref="U5:X5"/>
    <mergeCell ref="Q5:T5"/>
    <mergeCell ref="Q4:T4"/>
  </mergeCells>
  <phoneticPr fontId="26" type="noConversion"/>
  <pageMargins left="3.937007874015748E-2" right="3.937007874015748E-2" top="0.35433070866141736" bottom="0.35433070866141736" header="0.31496062992125984" footer="0.31496062992125984"/>
  <pageSetup paperSize="9" scale="58" firstPageNumber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Bartosik</dc:creator>
  <cp:lastModifiedBy>Joanna Bruzik</cp:lastModifiedBy>
  <cp:lastPrinted>2018-08-30T10:48:40Z</cp:lastPrinted>
  <dcterms:created xsi:type="dcterms:W3CDTF">2010-08-05T11:40:45Z</dcterms:created>
  <dcterms:modified xsi:type="dcterms:W3CDTF">2018-08-30T10:48:59Z</dcterms:modified>
</cp:coreProperties>
</file>