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75" windowWidth="20115" windowHeight="7095" activeTab="2"/>
  </bookViews>
  <sheets>
    <sheet name="Załącznik Nr 1" sheetId="4" r:id="rId1"/>
    <sheet name="Załącznik Nr 2" sheetId="5" r:id="rId2"/>
    <sheet name="Załącznik Nr 3" sheetId="1" r:id="rId3"/>
    <sheet name="Załącznik Nr 4" sheetId="2" r:id="rId4"/>
    <sheet name="Załącznik Nr 5" sheetId="3" r:id="rId5"/>
    <sheet name="Załącznik Nr 6" sheetId="6" r:id="rId6"/>
  </sheets>
  <calcPr calcId="145621"/>
</workbook>
</file>

<file path=xl/calcChain.xml><?xml version="1.0" encoding="utf-8"?>
<calcChain xmlns="http://schemas.openxmlformats.org/spreadsheetml/2006/main">
  <c r="O73" i="1" l="1"/>
  <c r="O72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70" i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B69" i="1"/>
  <c r="O68" i="1"/>
  <c r="N67" i="1"/>
  <c r="M67" i="1"/>
  <c r="M66" i="1" s="1"/>
  <c r="M74" i="1" s="1"/>
  <c r="L67" i="1"/>
  <c r="K67" i="1"/>
  <c r="K66" i="1" s="1"/>
  <c r="K74" i="1" s="1"/>
  <c r="J67" i="1"/>
  <c r="I67" i="1"/>
  <c r="H67" i="1"/>
  <c r="G67" i="1"/>
  <c r="F67" i="1"/>
  <c r="E67" i="1"/>
  <c r="D67" i="1"/>
  <c r="C67" i="1"/>
  <c r="B67" i="1"/>
  <c r="N66" i="1"/>
  <c r="N74" i="1" s="1"/>
  <c r="L66" i="1"/>
  <c r="L74" i="1" s="1"/>
  <c r="J66" i="1"/>
  <c r="H66" i="1"/>
  <c r="H74" i="1" s="1"/>
  <c r="G66" i="1"/>
  <c r="G74" i="1" s="1"/>
  <c r="F66" i="1"/>
  <c r="F74" i="1" s="1"/>
  <c r="E66" i="1"/>
  <c r="E74" i="1" s="1"/>
  <c r="D66" i="1"/>
  <c r="D74" i="1" s="1"/>
  <c r="C66" i="1"/>
  <c r="C74" i="1" s="1"/>
  <c r="B66" i="1"/>
  <c r="B74" i="1" s="1"/>
  <c r="O40" i="1"/>
  <c r="O39" i="1"/>
  <c r="C38" i="1"/>
  <c r="D38" i="1"/>
  <c r="E38" i="1"/>
  <c r="F38" i="1"/>
  <c r="G38" i="1"/>
  <c r="H38" i="1"/>
  <c r="I38" i="1"/>
  <c r="J38" i="1"/>
  <c r="K38" i="1"/>
  <c r="L38" i="1"/>
  <c r="M38" i="1"/>
  <c r="N38" i="1"/>
  <c r="B38" i="1"/>
  <c r="J74" i="1" l="1"/>
  <c r="O71" i="1"/>
  <c r="O67" i="1"/>
  <c r="I66" i="1"/>
  <c r="I74" i="1" s="1"/>
  <c r="O66" i="1"/>
  <c r="O38" i="1"/>
  <c r="O58" i="1"/>
  <c r="O57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O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2" i="1" s="1"/>
  <c r="B52" i="1"/>
  <c r="N51" i="1"/>
  <c r="L51" i="1"/>
  <c r="L59" i="1" s="1"/>
  <c r="K51" i="1"/>
  <c r="K59" i="1" s="1"/>
  <c r="J51" i="1"/>
  <c r="J59" i="1" s="1"/>
  <c r="H51" i="1"/>
  <c r="E51" i="1"/>
  <c r="E59" i="1" s="1"/>
  <c r="D51" i="1"/>
  <c r="D59" i="1" s="1"/>
  <c r="C51" i="1"/>
  <c r="C59" i="1" s="1"/>
  <c r="B51" i="1"/>
  <c r="B59" i="1" s="1"/>
  <c r="O74" i="1" l="1"/>
  <c r="N59" i="1"/>
  <c r="H59" i="1"/>
  <c r="G51" i="1"/>
  <c r="G59" i="1" s="1"/>
  <c r="I51" i="1"/>
  <c r="I59" i="1" s="1"/>
  <c r="M51" i="1"/>
  <c r="M59" i="1" s="1"/>
  <c r="F51" i="1"/>
  <c r="F59" i="1" s="1"/>
  <c r="O56" i="1"/>
  <c r="O54" i="1"/>
  <c r="O59" i="1" l="1"/>
  <c r="O51" i="1"/>
  <c r="O43" i="1"/>
  <c r="O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37" i="1"/>
  <c r="N36" i="1"/>
  <c r="M36" i="1"/>
  <c r="L36" i="1"/>
  <c r="K36" i="1"/>
  <c r="J36" i="1"/>
  <c r="I36" i="1"/>
  <c r="H36" i="1"/>
  <c r="G36" i="1"/>
  <c r="F36" i="1"/>
  <c r="E36" i="1"/>
  <c r="E35" i="1" s="1"/>
  <c r="E44" i="1" s="1"/>
  <c r="D36" i="1"/>
  <c r="C36" i="1"/>
  <c r="O36" i="1" s="1"/>
  <c r="B36" i="1"/>
  <c r="B35" i="1" s="1"/>
  <c r="N35" i="1"/>
  <c r="M35" i="1"/>
  <c r="M44" i="1" s="1"/>
  <c r="L35" i="1"/>
  <c r="K35" i="1"/>
  <c r="K44" i="1" s="1"/>
  <c r="J35" i="1"/>
  <c r="H35" i="1"/>
  <c r="H44" i="1" s="1"/>
  <c r="G35" i="1"/>
  <c r="G44" i="1" s="1"/>
  <c r="F35" i="1"/>
  <c r="F44" i="1" s="1"/>
  <c r="D35" i="1"/>
  <c r="D44" i="1" s="1"/>
  <c r="L44" i="1" l="1"/>
  <c r="J44" i="1"/>
  <c r="B44" i="1"/>
  <c r="I35" i="1"/>
  <c r="I44" i="1" s="1"/>
  <c r="N44" i="1"/>
  <c r="O41" i="1"/>
  <c r="C35" i="1"/>
  <c r="C44" i="1" s="1"/>
  <c r="O44" i="1" l="1"/>
  <c r="O35" i="1"/>
  <c r="O27" i="1" l="1"/>
  <c r="O26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O23" i="1"/>
  <c r="O22" i="1"/>
  <c r="O21" i="1"/>
  <c r="O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O17" i="1"/>
  <c r="O16" i="1"/>
  <c r="O15" i="1"/>
  <c r="O14" i="1"/>
  <c r="N13" i="1"/>
  <c r="M13" i="1"/>
  <c r="L13" i="1"/>
  <c r="K13" i="1"/>
  <c r="J13" i="1"/>
  <c r="I13" i="1"/>
  <c r="H13" i="1"/>
  <c r="G13" i="1"/>
  <c r="F13" i="1"/>
  <c r="F12" i="1" s="1"/>
  <c r="F28" i="1" s="1"/>
  <c r="E13" i="1"/>
  <c r="E12" i="1" s="1"/>
  <c r="E28" i="1" s="1"/>
  <c r="D13" i="1"/>
  <c r="D12" i="1" s="1"/>
  <c r="D28" i="1" s="1"/>
  <c r="C13" i="1"/>
  <c r="B13" i="1"/>
  <c r="M12" i="1"/>
  <c r="M28" i="1" s="1"/>
  <c r="L12" i="1"/>
  <c r="L28" i="1" s="1"/>
  <c r="K12" i="1"/>
  <c r="K28" i="1" s="1"/>
  <c r="J12" i="1"/>
  <c r="J28" i="1" s="1"/>
  <c r="I12" i="1"/>
  <c r="I28" i="1" s="1"/>
  <c r="H12" i="1"/>
  <c r="H28" i="1" s="1"/>
  <c r="C12" i="1"/>
  <c r="C28" i="1" s="1"/>
  <c r="B12" i="1" l="1"/>
  <c r="N12" i="1"/>
  <c r="N28" i="1" s="1"/>
  <c r="B28" i="1"/>
  <c r="O25" i="1"/>
  <c r="G12" i="1"/>
  <c r="G28" i="1" s="1"/>
  <c r="O19" i="1"/>
  <c r="O13" i="1"/>
  <c r="O28" i="1" l="1"/>
  <c r="O12" i="1"/>
  <c r="H63" i="4" l="1"/>
  <c r="J57" i="4"/>
  <c r="G57" i="4"/>
  <c r="D109" i="4" l="1"/>
  <c r="F19" i="4"/>
  <c r="G19" i="4"/>
  <c r="H19" i="4"/>
  <c r="I19" i="4"/>
  <c r="J19" i="4"/>
  <c r="K19" i="4"/>
  <c r="L19" i="4"/>
  <c r="M19" i="4"/>
  <c r="N19" i="4"/>
  <c r="O19" i="4"/>
  <c r="P19" i="4"/>
  <c r="E19" i="4"/>
  <c r="Q19" i="4" s="1"/>
  <c r="M56" i="2"/>
  <c r="B183" i="2"/>
  <c r="C185" i="2" l="1"/>
  <c r="D185" i="2"/>
  <c r="E185" i="2"/>
  <c r="F185" i="2"/>
  <c r="G185" i="2"/>
  <c r="H185" i="2"/>
  <c r="I185" i="2"/>
  <c r="J185" i="2"/>
  <c r="K185" i="2"/>
  <c r="L185" i="2"/>
  <c r="M185" i="2"/>
  <c r="N185" i="2"/>
  <c r="O185" i="2"/>
  <c r="B185" i="2"/>
  <c r="D183" i="2"/>
  <c r="F183" i="2"/>
  <c r="G183" i="2"/>
  <c r="H183" i="2"/>
  <c r="I183" i="2"/>
  <c r="J183" i="2"/>
  <c r="K183" i="2"/>
  <c r="L183" i="2"/>
  <c r="M183" i="2"/>
  <c r="N183" i="2"/>
  <c r="O180" i="2"/>
  <c r="O179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O177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O176" i="2" s="1"/>
  <c r="B176" i="2"/>
  <c r="O175" i="2"/>
  <c r="N174" i="2"/>
  <c r="M174" i="2"/>
  <c r="M173" i="2" s="1"/>
  <c r="M181" i="2" s="1"/>
  <c r="L174" i="2"/>
  <c r="K174" i="2"/>
  <c r="J174" i="2"/>
  <c r="I174" i="2"/>
  <c r="I173" i="2" s="1"/>
  <c r="H174" i="2"/>
  <c r="G174" i="2"/>
  <c r="F174" i="2"/>
  <c r="E174" i="2"/>
  <c r="D174" i="2"/>
  <c r="C174" i="2"/>
  <c r="O174" i="2" s="1"/>
  <c r="B174" i="2"/>
  <c r="N173" i="2"/>
  <c r="N181" i="2" s="1"/>
  <c r="L173" i="2"/>
  <c r="L181" i="2" s="1"/>
  <c r="K173" i="2"/>
  <c r="K181" i="2" s="1"/>
  <c r="J173" i="2"/>
  <c r="J181" i="2" s="1"/>
  <c r="H173" i="2"/>
  <c r="G173" i="2"/>
  <c r="G181" i="2" s="1"/>
  <c r="F173" i="2"/>
  <c r="F181" i="2" s="1"/>
  <c r="E173" i="2"/>
  <c r="E181" i="2" s="1"/>
  <c r="D173" i="2"/>
  <c r="D181" i="2" s="1"/>
  <c r="C173" i="2"/>
  <c r="C181" i="2" s="1"/>
  <c r="B173" i="2"/>
  <c r="B181" i="2" s="1"/>
  <c r="M138" i="2"/>
  <c r="G140" i="2"/>
  <c r="N63" i="2"/>
  <c r="D42" i="2"/>
  <c r="D40" i="2"/>
  <c r="I181" i="2" l="1"/>
  <c r="H181" i="2"/>
  <c r="O178" i="2"/>
  <c r="O181" i="2"/>
  <c r="O173" i="2"/>
  <c r="I100" i="5"/>
  <c r="Q105" i="5"/>
  <c r="Q106" i="5"/>
  <c r="E96" i="5"/>
  <c r="F96" i="5"/>
  <c r="G96" i="5"/>
  <c r="H96" i="5"/>
  <c r="I96" i="5"/>
  <c r="Q96" i="5" s="1"/>
  <c r="J96" i="5"/>
  <c r="K96" i="5"/>
  <c r="L96" i="5"/>
  <c r="M96" i="5"/>
  <c r="N96" i="5"/>
  <c r="O96" i="5"/>
  <c r="P96" i="5"/>
  <c r="E50" i="5"/>
  <c r="F50" i="5"/>
  <c r="G50" i="5"/>
  <c r="H50" i="5"/>
  <c r="I134" i="5"/>
  <c r="P124" i="5"/>
  <c r="J124" i="5"/>
  <c r="O124" i="5"/>
  <c r="N124" i="5"/>
  <c r="M124" i="5"/>
  <c r="L124" i="5"/>
  <c r="K124" i="5"/>
  <c r="P118" i="5"/>
  <c r="P113" i="5"/>
  <c r="D106" i="5" l="1"/>
  <c r="H106" i="5"/>
  <c r="D96" i="5"/>
  <c r="Q104" i="5"/>
  <c r="D100" i="5"/>
  <c r="P98" i="5"/>
  <c r="P85" i="5"/>
  <c r="D85" i="5"/>
  <c r="I82" i="5"/>
  <c r="D82" i="5"/>
  <c r="O69" i="5"/>
  <c r="P69" i="5"/>
  <c r="I68" i="5"/>
  <c r="P67" i="5"/>
  <c r="O67" i="5"/>
  <c r="N67" i="5"/>
  <c r="M67" i="5"/>
  <c r="L67" i="5"/>
  <c r="K67" i="5"/>
  <c r="J67" i="5"/>
  <c r="D59" i="5"/>
  <c r="J59" i="5"/>
  <c r="J58" i="5"/>
  <c r="P59" i="5"/>
  <c r="P41" i="5"/>
  <c r="L41" i="5"/>
  <c r="M41" i="5"/>
  <c r="N41" i="5"/>
  <c r="O41" i="5"/>
  <c r="I28" i="5"/>
  <c r="P106" i="4"/>
  <c r="O106" i="4"/>
  <c r="N106" i="4"/>
  <c r="M106" i="4"/>
  <c r="L106" i="4"/>
  <c r="K106" i="4"/>
  <c r="J106" i="4"/>
  <c r="I106" i="4"/>
  <c r="H106" i="4"/>
  <c r="G106" i="4"/>
  <c r="P104" i="4"/>
  <c r="E82" i="4"/>
  <c r="F82" i="4"/>
  <c r="G82" i="4"/>
  <c r="H82" i="4"/>
  <c r="I82" i="4"/>
  <c r="J82" i="4"/>
  <c r="K82" i="4"/>
  <c r="L82" i="4"/>
  <c r="M82" i="4"/>
  <c r="N82" i="4"/>
  <c r="O82" i="4"/>
  <c r="P82" i="4"/>
  <c r="D82" i="4"/>
  <c r="Q89" i="4"/>
  <c r="D78" i="4"/>
  <c r="Q80" i="4"/>
  <c r="J76" i="4"/>
  <c r="J62" i="4" l="1"/>
  <c r="P61" i="4"/>
  <c r="E55" i="4"/>
  <c r="F55" i="4"/>
  <c r="G55" i="4"/>
  <c r="H55" i="4"/>
  <c r="I55" i="4"/>
  <c r="J55" i="4"/>
  <c r="K55" i="4"/>
  <c r="L55" i="4"/>
  <c r="M55" i="4"/>
  <c r="N55" i="4"/>
  <c r="O55" i="4"/>
  <c r="P55" i="4"/>
  <c r="D55" i="4"/>
  <c r="Q58" i="4"/>
  <c r="Q55" i="4" l="1"/>
  <c r="O94" i="2"/>
  <c r="P38" i="5" l="1"/>
  <c r="O38" i="5"/>
  <c r="N38" i="5"/>
  <c r="M38" i="5"/>
  <c r="L38" i="5"/>
  <c r="K38" i="5"/>
  <c r="J38" i="5"/>
  <c r="I38" i="5"/>
  <c r="O111" i="5"/>
  <c r="N111" i="5"/>
  <c r="M111" i="5"/>
  <c r="J111" i="5"/>
  <c r="K111" i="5"/>
  <c r="L111" i="5"/>
  <c r="P17" i="5"/>
  <c r="P18" i="5"/>
  <c r="O18" i="5"/>
  <c r="N18" i="5"/>
  <c r="M18" i="5"/>
  <c r="L18" i="5"/>
  <c r="K18" i="5"/>
  <c r="J18" i="5"/>
  <c r="I18" i="5"/>
  <c r="P68" i="5"/>
  <c r="O68" i="5"/>
  <c r="P61" i="5"/>
  <c r="O61" i="5"/>
  <c r="N61" i="5"/>
  <c r="M61" i="5"/>
  <c r="L61" i="5"/>
  <c r="K61" i="5"/>
  <c r="J61" i="5"/>
  <c r="I61" i="5"/>
  <c r="P125" i="5"/>
  <c r="P122" i="5"/>
  <c r="P79" i="5"/>
  <c r="O79" i="5"/>
  <c r="N79" i="5"/>
  <c r="I59" i="5"/>
  <c r="K59" i="5"/>
  <c r="L59" i="5"/>
  <c r="M59" i="5"/>
  <c r="N59" i="5"/>
  <c r="O59" i="5"/>
  <c r="I87" i="5"/>
  <c r="J87" i="5"/>
  <c r="K87" i="5"/>
  <c r="L87" i="5"/>
  <c r="M87" i="5"/>
  <c r="N87" i="5"/>
  <c r="O87" i="5"/>
  <c r="P87" i="5"/>
  <c r="P77" i="5"/>
  <c r="L77" i="5"/>
  <c r="M77" i="5"/>
  <c r="N77" i="5"/>
  <c r="O77" i="5"/>
  <c r="O54" i="5"/>
  <c r="P54" i="5"/>
  <c r="N54" i="5"/>
  <c r="M54" i="5"/>
  <c r="L54" i="5"/>
  <c r="K54" i="5"/>
  <c r="J54" i="5"/>
  <c r="I54" i="5"/>
  <c r="I53" i="5" s="1"/>
  <c r="E53" i="5"/>
  <c r="Q53" i="5" s="1"/>
  <c r="F53" i="5"/>
  <c r="G53" i="5"/>
  <c r="H53" i="5"/>
  <c r="D53" i="5"/>
  <c r="P60" i="5"/>
  <c r="O60" i="5"/>
  <c r="I67" i="5"/>
  <c r="L72" i="5"/>
  <c r="P72" i="5"/>
  <c r="O72" i="5"/>
  <c r="N72" i="5"/>
  <c r="M72" i="5"/>
  <c r="K72" i="5"/>
  <c r="J72" i="5"/>
  <c r="I72" i="5"/>
  <c r="J83" i="5"/>
  <c r="K83" i="5"/>
  <c r="L83" i="5"/>
  <c r="M83" i="5"/>
  <c r="N83" i="5"/>
  <c r="O83" i="5"/>
  <c r="P83" i="5"/>
  <c r="I83" i="5"/>
  <c r="P121" i="5"/>
  <c r="O121" i="5"/>
  <c r="N121" i="5"/>
  <c r="M121" i="5"/>
  <c r="L121" i="5"/>
  <c r="K121" i="5"/>
  <c r="J121" i="5"/>
  <c r="I121" i="5"/>
  <c r="P80" i="5"/>
  <c r="M58" i="5"/>
  <c r="N58" i="5"/>
  <c r="O58" i="5"/>
  <c r="P58" i="5"/>
  <c r="L76" i="5"/>
  <c r="K76" i="5"/>
  <c r="J76" i="5"/>
  <c r="I76" i="5"/>
  <c r="P65" i="5"/>
  <c r="O65" i="5"/>
  <c r="P55" i="5"/>
  <c r="P53" i="5" s="1"/>
  <c r="O55" i="5"/>
  <c r="O53" i="5" s="1"/>
  <c r="N55" i="5"/>
  <c r="N53" i="5" s="1"/>
  <c r="M55" i="5"/>
  <c r="M53" i="5" s="1"/>
  <c r="L55" i="5"/>
  <c r="L53" i="5" s="1"/>
  <c r="K55" i="5"/>
  <c r="K53" i="5" s="1"/>
  <c r="J55" i="5"/>
  <c r="J53" i="5" s="1"/>
  <c r="I55" i="5"/>
  <c r="P119" i="5"/>
  <c r="O119" i="5"/>
  <c r="P51" i="5"/>
  <c r="O51" i="5"/>
  <c r="P52" i="5"/>
  <c r="O52" i="5"/>
  <c r="P56" i="5"/>
  <c r="O56" i="5"/>
  <c r="P71" i="5"/>
  <c r="P74" i="5"/>
  <c r="I115" i="5"/>
  <c r="J115" i="5"/>
  <c r="K115" i="5"/>
  <c r="L115" i="5"/>
  <c r="M115" i="5"/>
  <c r="N115" i="5"/>
  <c r="O115" i="5"/>
  <c r="P115" i="5"/>
  <c r="N78" i="5"/>
  <c r="O78" i="5"/>
  <c r="P78" i="5"/>
  <c r="I78" i="5"/>
  <c r="J78" i="5"/>
  <c r="K78" i="5"/>
  <c r="L78" i="5"/>
  <c r="M78" i="5"/>
  <c r="P66" i="5"/>
  <c r="P62" i="5"/>
  <c r="O62" i="5"/>
  <c r="N62" i="5"/>
  <c r="M62" i="5"/>
  <c r="L62" i="5"/>
  <c r="K62" i="5"/>
  <c r="J62" i="5"/>
  <c r="I62" i="5"/>
  <c r="N69" i="5"/>
  <c r="M69" i="5"/>
  <c r="L69" i="5"/>
  <c r="K69" i="5"/>
  <c r="P82" i="5"/>
  <c r="O82" i="5"/>
  <c r="N82" i="5"/>
  <c r="M82" i="5"/>
  <c r="L82" i="5"/>
  <c r="K82" i="5"/>
  <c r="O118" i="5"/>
  <c r="N118" i="5"/>
  <c r="P93" i="5"/>
  <c r="N134" i="5"/>
  <c r="O134" i="5"/>
  <c r="P134" i="5"/>
  <c r="M134" i="5"/>
  <c r="L134" i="5"/>
  <c r="K134" i="5"/>
  <c r="J134" i="5"/>
  <c r="P133" i="5"/>
  <c r="P131" i="5"/>
  <c r="P130" i="5"/>
  <c r="P106" i="5"/>
  <c r="O106" i="5"/>
  <c r="M112" i="5"/>
  <c r="N112" i="5"/>
  <c r="I112" i="5"/>
  <c r="P112" i="5"/>
  <c r="O112" i="5"/>
  <c r="L112" i="5"/>
  <c r="K112" i="5"/>
  <c r="J112" i="5"/>
  <c r="K41" i="5"/>
  <c r="J41" i="5"/>
  <c r="I41" i="5"/>
  <c r="Q61" i="5" l="1"/>
  <c r="Q13" i="5"/>
  <c r="Q14" i="5"/>
  <c r="Q16" i="5"/>
  <c r="Q17" i="5"/>
  <c r="Q18" i="5"/>
  <c r="Q21" i="5"/>
  <c r="Q22" i="5"/>
  <c r="Q23" i="5"/>
  <c r="Q25" i="5"/>
  <c r="Q27" i="5"/>
  <c r="Q28" i="5"/>
  <c r="Q30" i="5"/>
  <c r="Q31" i="5"/>
  <c r="Q32" i="5"/>
  <c r="Q34" i="5"/>
  <c r="Q35" i="5"/>
  <c r="Q36" i="5"/>
  <c r="Q37" i="5"/>
  <c r="Q38" i="5"/>
  <c r="Q39" i="5"/>
  <c r="Q41" i="5"/>
  <c r="Q42" i="5"/>
  <c r="Q44" i="5"/>
  <c r="Q46" i="5"/>
  <c r="Q48" i="5"/>
  <c r="Q49" i="5"/>
  <c r="Q51" i="5"/>
  <c r="Q52" i="5"/>
  <c r="Q54" i="5"/>
  <c r="Q55" i="5"/>
  <c r="Q56" i="5"/>
  <c r="Q58" i="5"/>
  <c r="Q59" i="5"/>
  <c r="Q60" i="5"/>
  <c r="Q62" i="5"/>
  <c r="Q63" i="5"/>
  <c r="Q65" i="5"/>
  <c r="Q66" i="5"/>
  <c r="Q67" i="5"/>
  <c r="Q68" i="5"/>
  <c r="Q69" i="5"/>
  <c r="Q70" i="5"/>
  <c r="Q71" i="5"/>
  <c r="Q72" i="5"/>
  <c r="Q73" i="5"/>
  <c r="Q74" i="5"/>
  <c r="Q76" i="5"/>
  <c r="Q77" i="5"/>
  <c r="Q78" i="5"/>
  <c r="Q79" i="5"/>
  <c r="Q80" i="5"/>
  <c r="Q82" i="5"/>
  <c r="Q83" i="5"/>
  <c r="Q85" i="5"/>
  <c r="Q86" i="5"/>
  <c r="Q87" i="5"/>
  <c r="Q89" i="5"/>
  <c r="Q90" i="5"/>
  <c r="Q91" i="5"/>
  <c r="Q93" i="5"/>
  <c r="Q94" i="5"/>
  <c r="Q95" i="5"/>
  <c r="Q98" i="5"/>
  <c r="Q99" i="5"/>
  <c r="Q101" i="5"/>
  <c r="Q102" i="5"/>
  <c r="Q103" i="5"/>
  <c r="Q107" i="5"/>
  <c r="Q108" i="5"/>
  <c r="Q110" i="5"/>
  <c r="Q111" i="5"/>
  <c r="Q112" i="5"/>
  <c r="Q113" i="5"/>
  <c r="Q115" i="5"/>
  <c r="Q117" i="5"/>
  <c r="Q118" i="5"/>
  <c r="Q119" i="5"/>
  <c r="Q121" i="5"/>
  <c r="Q122" i="5"/>
  <c r="Q124" i="5"/>
  <c r="Q125" i="5"/>
  <c r="Q126" i="5"/>
  <c r="Q127" i="5"/>
  <c r="Q130" i="5"/>
  <c r="Q131" i="5"/>
  <c r="Q133" i="5"/>
  <c r="Q134" i="5"/>
  <c r="Q135" i="5"/>
  <c r="Q137" i="5"/>
  <c r="Q139" i="5"/>
  <c r="Q140" i="5"/>
  <c r="Q141" i="5"/>
  <c r="Q143" i="5"/>
  <c r="Q144" i="5"/>
  <c r="Q147" i="5"/>
  <c r="Q21" i="4" l="1"/>
  <c r="Q22" i="4"/>
  <c r="Q41" i="4"/>
  <c r="E86" i="2" l="1"/>
  <c r="O124" i="2" l="1"/>
  <c r="C124" i="2"/>
  <c r="D124" i="2"/>
  <c r="E124" i="2"/>
  <c r="F124" i="2"/>
  <c r="G124" i="2"/>
  <c r="H124" i="2"/>
  <c r="I124" i="2"/>
  <c r="J124" i="2"/>
  <c r="K124" i="2"/>
  <c r="L124" i="2"/>
  <c r="M124" i="2"/>
  <c r="N124" i="2"/>
  <c r="B124" i="2"/>
  <c r="O104" i="2" l="1"/>
  <c r="E142" i="5"/>
  <c r="E138" i="5"/>
  <c r="E136" i="5"/>
  <c r="E132" i="5"/>
  <c r="E129" i="5"/>
  <c r="E123" i="5"/>
  <c r="E109" i="5"/>
  <c r="E100" i="5"/>
  <c r="E97" i="5"/>
  <c r="E92" i="5"/>
  <c r="E88" i="5"/>
  <c r="E84" i="5"/>
  <c r="F84" i="5"/>
  <c r="E81" i="5"/>
  <c r="E75" i="5"/>
  <c r="F75" i="5"/>
  <c r="E64" i="5"/>
  <c r="E57" i="5"/>
  <c r="E47" i="5"/>
  <c r="E45" i="5"/>
  <c r="E43" i="5"/>
  <c r="E40" i="5"/>
  <c r="E33" i="5"/>
  <c r="E29" i="5"/>
  <c r="E26" i="5"/>
  <c r="E24" i="5"/>
  <c r="E15" i="5"/>
  <c r="F15" i="5"/>
  <c r="E12" i="5"/>
  <c r="E128" i="5" l="1"/>
  <c r="F132" i="5"/>
  <c r="G132" i="5"/>
  <c r="H132" i="5"/>
  <c r="I132" i="5"/>
  <c r="J132" i="5"/>
  <c r="K132" i="5"/>
  <c r="L132" i="5"/>
  <c r="M132" i="5"/>
  <c r="N132" i="5"/>
  <c r="O132" i="5"/>
  <c r="P132" i="5"/>
  <c r="D132" i="5"/>
  <c r="F129" i="5"/>
  <c r="F128" i="5" s="1"/>
  <c r="G129" i="5"/>
  <c r="G128" i="5" s="1"/>
  <c r="H129" i="5"/>
  <c r="H128" i="5" s="1"/>
  <c r="I129" i="5"/>
  <c r="I128" i="5" s="1"/>
  <c r="J129" i="5"/>
  <c r="J128" i="5" s="1"/>
  <c r="K129" i="5"/>
  <c r="K128" i="5" s="1"/>
  <c r="L129" i="5"/>
  <c r="L128" i="5" s="1"/>
  <c r="M129" i="5"/>
  <c r="M128" i="5" s="1"/>
  <c r="N129" i="5"/>
  <c r="N128" i="5" s="1"/>
  <c r="O129" i="5"/>
  <c r="O128" i="5" s="1"/>
  <c r="P129" i="5"/>
  <c r="P128" i="5" s="1"/>
  <c r="D129" i="5"/>
  <c r="D128" i="5" s="1"/>
  <c r="G75" i="5"/>
  <c r="H75" i="5"/>
  <c r="I75" i="5"/>
  <c r="J75" i="5"/>
  <c r="K75" i="5"/>
  <c r="L75" i="5"/>
  <c r="M75" i="5"/>
  <c r="N75" i="5"/>
  <c r="O75" i="5"/>
  <c r="P75" i="5"/>
  <c r="D75" i="5"/>
  <c r="F12" i="5"/>
  <c r="G12" i="5"/>
  <c r="H12" i="5"/>
  <c r="I12" i="5"/>
  <c r="J12" i="5"/>
  <c r="K12" i="5"/>
  <c r="L12" i="5"/>
  <c r="M12" i="5"/>
  <c r="N12" i="5"/>
  <c r="O12" i="5"/>
  <c r="P12" i="5"/>
  <c r="D12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P142" i="5"/>
  <c r="O142" i="5"/>
  <c r="N142" i="5"/>
  <c r="M142" i="5"/>
  <c r="L142" i="5"/>
  <c r="K142" i="5"/>
  <c r="J142" i="5"/>
  <c r="I142" i="5"/>
  <c r="H142" i="5"/>
  <c r="G142" i="5"/>
  <c r="F142" i="5"/>
  <c r="D142" i="5"/>
  <c r="P138" i="5"/>
  <c r="O138" i="5"/>
  <c r="N138" i="5"/>
  <c r="M138" i="5"/>
  <c r="L138" i="5"/>
  <c r="K138" i="5"/>
  <c r="J138" i="5"/>
  <c r="I138" i="5"/>
  <c r="H138" i="5"/>
  <c r="G138" i="5"/>
  <c r="F138" i="5"/>
  <c r="D138" i="5"/>
  <c r="P136" i="5"/>
  <c r="O136" i="5"/>
  <c r="N136" i="5"/>
  <c r="M136" i="5"/>
  <c r="L136" i="5"/>
  <c r="K136" i="5"/>
  <c r="J136" i="5"/>
  <c r="I136" i="5"/>
  <c r="H136" i="5"/>
  <c r="G136" i="5"/>
  <c r="F136" i="5"/>
  <c r="D136" i="5"/>
  <c r="P123" i="5"/>
  <c r="O123" i="5"/>
  <c r="N123" i="5"/>
  <c r="M123" i="5"/>
  <c r="L123" i="5"/>
  <c r="K123" i="5"/>
  <c r="J123" i="5"/>
  <c r="I123" i="5"/>
  <c r="H123" i="5"/>
  <c r="G123" i="5"/>
  <c r="F123" i="5"/>
  <c r="D123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P109" i="5"/>
  <c r="O109" i="5"/>
  <c r="N109" i="5"/>
  <c r="M109" i="5"/>
  <c r="L109" i="5"/>
  <c r="K109" i="5"/>
  <c r="J109" i="5"/>
  <c r="I109" i="5"/>
  <c r="H109" i="5"/>
  <c r="G109" i="5"/>
  <c r="F109" i="5"/>
  <c r="D109" i="5"/>
  <c r="P100" i="5"/>
  <c r="O100" i="5"/>
  <c r="N100" i="5"/>
  <c r="M100" i="5"/>
  <c r="L100" i="5"/>
  <c r="K100" i="5"/>
  <c r="J100" i="5"/>
  <c r="H100" i="5"/>
  <c r="G100" i="5"/>
  <c r="F100" i="5"/>
  <c r="P97" i="5"/>
  <c r="O97" i="5"/>
  <c r="N97" i="5"/>
  <c r="M97" i="5"/>
  <c r="L97" i="5"/>
  <c r="K97" i="5"/>
  <c r="J97" i="5"/>
  <c r="I97" i="5"/>
  <c r="H97" i="5"/>
  <c r="G97" i="5"/>
  <c r="F97" i="5"/>
  <c r="D97" i="5"/>
  <c r="P92" i="5"/>
  <c r="O92" i="5"/>
  <c r="N92" i="5"/>
  <c r="M92" i="5"/>
  <c r="L92" i="5"/>
  <c r="K92" i="5"/>
  <c r="J92" i="5"/>
  <c r="I92" i="5"/>
  <c r="H92" i="5"/>
  <c r="G92" i="5"/>
  <c r="G88" i="5" s="1"/>
  <c r="F92" i="5"/>
  <c r="D92" i="5"/>
  <c r="D88" i="5" s="1"/>
  <c r="P88" i="5"/>
  <c r="O88" i="5"/>
  <c r="N88" i="5"/>
  <c r="M88" i="5"/>
  <c r="L88" i="5"/>
  <c r="K88" i="5"/>
  <c r="J88" i="5"/>
  <c r="I88" i="5"/>
  <c r="H88" i="5"/>
  <c r="F88" i="5"/>
  <c r="P84" i="5"/>
  <c r="O84" i="5"/>
  <c r="N84" i="5"/>
  <c r="M84" i="5"/>
  <c r="L84" i="5"/>
  <c r="K84" i="5"/>
  <c r="J84" i="5"/>
  <c r="I84" i="5"/>
  <c r="H84" i="5"/>
  <c r="G84" i="5"/>
  <c r="D84" i="5"/>
  <c r="P81" i="5"/>
  <c r="O81" i="5"/>
  <c r="N81" i="5"/>
  <c r="M81" i="5"/>
  <c r="L81" i="5"/>
  <c r="K81" i="5"/>
  <c r="J81" i="5"/>
  <c r="I81" i="5"/>
  <c r="H81" i="5"/>
  <c r="G81" i="5"/>
  <c r="F81" i="5"/>
  <c r="D81" i="5"/>
  <c r="P64" i="5"/>
  <c r="O64" i="5"/>
  <c r="N64" i="5"/>
  <c r="M64" i="5"/>
  <c r="L64" i="5"/>
  <c r="K64" i="5"/>
  <c r="J64" i="5"/>
  <c r="I64" i="5"/>
  <c r="H64" i="5"/>
  <c r="G64" i="5"/>
  <c r="F64" i="5"/>
  <c r="D64" i="5"/>
  <c r="P57" i="5"/>
  <c r="P50" i="5" s="1"/>
  <c r="O57" i="5"/>
  <c r="O50" i="5" s="1"/>
  <c r="N57" i="5"/>
  <c r="N50" i="5" s="1"/>
  <c r="M57" i="5"/>
  <c r="M50" i="5" s="1"/>
  <c r="L57" i="5"/>
  <c r="L50" i="5" s="1"/>
  <c r="K57" i="5"/>
  <c r="K50" i="5" s="1"/>
  <c r="J57" i="5"/>
  <c r="J50" i="5" s="1"/>
  <c r="I57" i="5"/>
  <c r="I50" i="5" s="1"/>
  <c r="H57" i="5"/>
  <c r="G57" i="5"/>
  <c r="F57" i="5"/>
  <c r="D57" i="5"/>
  <c r="D50" i="5" s="1"/>
  <c r="P47" i="5"/>
  <c r="O47" i="5"/>
  <c r="N47" i="5"/>
  <c r="M47" i="5"/>
  <c r="L47" i="5"/>
  <c r="K47" i="5"/>
  <c r="J47" i="5"/>
  <c r="I47" i="5"/>
  <c r="H47" i="5"/>
  <c r="G47" i="5"/>
  <c r="F47" i="5"/>
  <c r="Q47" i="5" s="1"/>
  <c r="D47" i="5"/>
  <c r="P45" i="5"/>
  <c r="O45" i="5"/>
  <c r="N45" i="5"/>
  <c r="M45" i="5"/>
  <c r="L45" i="5"/>
  <c r="K45" i="5"/>
  <c r="J45" i="5"/>
  <c r="I45" i="5"/>
  <c r="H45" i="5"/>
  <c r="G45" i="5"/>
  <c r="F45" i="5"/>
  <c r="Q45" i="5" s="1"/>
  <c r="D45" i="5"/>
  <c r="P43" i="5"/>
  <c r="O43" i="5"/>
  <c r="N43" i="5"/>
  <c r="M43" i="5"/>
  <c r="L43" i="5"/>
  <c r="K43" i="5"/>
  <c r="J43" i="5"/>
  <c r="I43" i="5"/>
  <c r="H43" i="5"/>
  <c r="G43" i="5"/>
  <c r="F43" i="5"/>
  <c r="D43" i="5"/>
  <c r="P40" i="5"/>
  <c r="O40" i="5"/>
  <c r="N40" i="5"/>
  <c r="M40" i="5"/>
  <c r="L40" i="5"/>
  <c r="K40" i="5"/>
  <c r="J40" i="5"/>
  <c r="I40" i="5"/>
  <c r="H40" i="5"/>
  <c r="G40" i="5"/>
  <c r="F40" i="5"/>
  <c r="D40" i="5"/>
  <c r="P33" i="5"/>
  <c r="O33" i="5"/>
  <c r="N33" i="5"/>
  <c r="M33" i="5"/>
  <c r="L33" i="5"/>
  <c r="K33" i="5"/>
  <c r="J33" i="5"/>
  <c r="I33" i="5"/>
  <c r="H33" i="5"/>
  <c r="G33" i="5"/>
  <c r="F33" i="5"/>
  <c r="D33" i="5"/>
  <c r="P29" i="5"/>
  <c r="O29" i="5"/>
  <c r="N29" i="5"/>
  <c r="M29" i="5"/>
  <c r="L29" i="5"/>
  <c r="K29" i="5"/>
  <c r="J29" i="5"/>
  <c r="I29" i="5"/>
  <c r="H29" i="5"/>
  <c r="G29" i="5"/>
  <c r="F29" i="5"/>
  <c r="D29" i="5"/>
  <c r="P26" i="5"/>
  <c r="O26" i="5"/>
  <c r="N26" i="5"/>
  <c r="M26" i="5"/>
  <c r="L26" i="5"/>
  <c r="K26" i="5"/>
  <c r="J26" i="5"/>
  <c r="I26" i="5"/>
  <c r="H26" i="5"/>
  <c r="G26" i="5"/>
  <c r="F26" i="5"/>
  <c r="D26" i="5"/>
  <c r="P24" i="5"/>
  <c r="O24" i="5"/>
  <c r="N24" i="5"/>
  <c r="M24" i="5"/>
  <c r="L24" i="5"/>
  <c r="K24" i="5"/>
  <c r="J24" i="5"/>
  <c r="I24" i="5"/>
  <c r="H24" i="5"/>
  <c r="G24" i="5"/>
  <c r="F24" i="5"/>
  <c r="Q24" i="5" s="1"/>
  <c r="D24" i="5"/>
  <c r="P20" i="5"/>
  <c r="P19" i="5" s="1"/>
  <c r="O20" i="5"/>
  <c r="N20" i="5"/>
  <c r="N19" i="5" s="1"/>
  <c r="M20" i="5"/>
  <c r="M19" i="5" s="1"/>
  <c r="L20" i="5"/>
  <c r="L19" i="5" s="1"/>
  <c r="K20" i="5"/>
  <c r="K19" i="5" s="1"/>
  <c r="J20" i="5"/>
  <c r="J19" i="5" s="1"/>
  <c r="I20" i="5"/>
  <c r="I19" i="5" s="1"/>
  <c r="H20" i="5"/>
  <c r="G20" i="5"/>
  <c r="G19" i="5" s="1"/>
  <c r="G145" i="5" s="1"/>
  <c r="F20" i="5"/>
  <c r="F19" i="5" s="1"/>
  <c r="F145" i="5" s="1"/>
  <c r="E20" i="5"/>
  <c r="E19" i="5" s="1"/>
  <c r="E145" i="5" s="1"/>
  <c r="D20" i="5"/>
  <c r="D19" i="5" s="1"/>
  <c r="O19" i="5"/>
  <c r="P15" i="5"/>
  <c r="O15" i="5"/>
  <c r="N15" i="5"/>
  <c r="M15" i="5"/>
  <c r="L15" i="5"/>
  <c r="K15" i="5"/>
  <c r="J15" i="5"/>
  <c r="I15" i="5"/>
  <c r="H15" i="5"/>
  <c r="G15" i="5"/>
  <c r="D15" i="5"/>
  <c r="Q102" i="4"/>
  <c r="Q103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D101" i="4"/>
  <c r="D107" i="4"/>
  <c r="Q105" i="4"/>
  <c r="Q106" i="4"/>
  <c r="E104" i="4"/>
  <c r="F104" i="4"/>
  <c r="G104" i="4"/>
  <c r="H104" i="4"/>
  <c r="I104" i="4"/>
  <c r="J104" i="4"/>
  <c r="K104" i="4"/>
  <c r="L104" i="4"/>
  <c r="M104" i="4"/>
  <c r="N104" i="4"/>
  <c r="O104" i="4"/>
  <c r="D104" i="4"/>
  <c r="Q98" i="4"/>
  <c r="Q99" i="4"/>
  <c r="Q108" i="4"/>
  <c r="Q81" i="4"/>
  <c r="E39" i="4"/>
  <c r="F39" i="4"/>
  <c r="G39" i="4"/>
  <c r="H39" i="4"/>
  <c r="I39" i="4"/>
  <c r="J39" i="4"/>
  <c r="K39" i="4"/>
  <c r="L39" i="4"/>
  <c r="M39" i="4"/>
  <c r="N39" i="4"/>
  <c r="O39" i="4"/>
  <c r="P39" i="4"/>
  <c r="D39" i="4"/>
  <c r="E20" i="4"/>
  <c r="F20" i="4"/>
  <c r="G20" i="4"/>
  <c r="H20" i="4"/>
  <c r="I20" i="4"/>
  <c r="J20" i="4"/>
  <c r="K20" i="4"/>
  <c r="L20" i="4"/>
  <c r="M20" i="4"/>
  <c r="N20" i="4"/>
  <c r="O20" i="4"/>
  <c r="P20" i="4"/>
  <c r="D20" i="4"/>
  <c r="D19" i="4" s="1"/>
  <c r="E12" i="4"/>
  <c r="F12" i="4"/>
  <c r="G12" i="4"/>
  <c r="H12" i="4"/>
  <c r="I12" i="4"/>
  <c r="J12" i="4"/>
  <c r="K12" i="4"/>
  <c r="L12" i="4"/>
  <c r="M12" i="4"/>
  <c r="N12" i="4"/>
  <c r="O12" i="4"/>
  <c r="P12" i="4"/>
  <c r="D12" i="4"/>
  <c r="Q13" i="4"/>
  <c r="Q14" i="4"/>
  <c r="Q16" i="4"/>
  <c r="Q18" i="4"/>
  <c r="Q25" i="4"/>
  <c r="Q26" i="4"/>
  <c r="Q29" i="4"/>
  <c r="Q30" i="4"/>
  <c r="Q31" i="4"/>
  <c r="Q32" i="4"/>
  <c r="Q34" i="4"/>
  <c r="Q35" i="4"/>
  <c r="Q37" i="4"/>
  <c r="Q38" i="4"/>
  <c r="Q40" i="4"/>
  <c r="Q43" i="4"/>
  <c r="Q45" i="4"/>
  <c r="Q46" i="4"/>
  <c r="Q47" i="4"/>
  <c r="Q49" i="4"/>
  <c r="Q50" i="4"/>
  <c r="Q51" i="4"/>
  <c r="Q52" i="4"/>
  <c r="Q54" i="4"/>
  <c r="Q56" i="4"/>
  <c r="Q57" i="4"/>
  <c r="Q60" i="4"/>
  <c r="Q61" i="4"/>
  <c r="Q62" i="4"/>
  <c r="Q63" i="4"/>
  <c r="Q64" i="4"/>
  <c r="Q65" i="4"/>
  <c r="Q66" i="4"/>
  <c r="Q67" i="4"/>
  <c r="Q70" i="4"/>
  <c r="Q71" i="4"/>
  <c r="Q74" i="4"/>
  <c r="Q75" i="4"/>
  <c r="Q76" i="4"/>
  <c r="Q78" i="4"/>
  <c r="Q79" i="4"/>
  <c r="Q84" i="4"/>
  <c r="Q85" i="4"/>
  <c r="Q86" i="4"/>
  <c r="Q87" i="4"/>
  <c r="Q88" i="4"/>
  <c r="Q91" i="4"/>
  <c r="Q92" i="4"/>
  <c r="Q94" i="4"/>
  <c r="Q95" i="4"/>
  <c r="Q97" i="4"/>
  <c r="Q111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P93" i="4"/>
  <c r="O93" i="4"/>
  <c r="N93" i="4"/>
  <c r="M93" i="4"/>
  <c r="L93" i="4"/>
  <c r="K93" i="4"/>
  <c r="J93" i="4"/>
  <c r="J90" i="4" s="1"/>
  <c r="I93" i="4"/>
  <c r="H93" i="4"/>
  <c r="G93" i="4"/>
  <c r="F93" i="4"/>
  <c r="F90" i="4" s="1"/>
  <c r="E93" i="4"/>
  <c r="D93" i="4"/>
  <c r="K90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D72" i="4" s="1"/>
  <c r="P73" i="4"/>
  <c r="P72" i="4" s="1"/>
  <c r="O73" i="4"/>
  <c r="O72" i="4" s="1"/>
  <c r="N73" i="4"/>
  <c r="N72" i="4" s="1"/>
  <c r="M73" i="4"/>
  <c r="M72" i="4" s="1"/>
  <c r="L73" i="4"/>
  <c r="L72" i="4" s="1"/>
  <c r="K73" i="4"/>
  <c r="K72" i="4" s="1"/>
  <c r="J73" i="4"/>
  <c r="J72" i="4" s="1"/>
  <c r="I73" i="4"/>
  <c r="H73" i="4"/>
  <c r="H72" i="4" s="1"/>
  <c r="G73" i="4"/>
  <c r="G72" i="4" s="1"/>
  <c r="F73" i="4"/>
  <c r="F72" i="4" s="1"/>
  <c r="E73" i="4"/>
  <c r="E72" i="4" s="1"/>
  <c r="D73" i="4"/>
  <c r="P69" i="4"/>
  <c r="P68" i="4" s="1"/>
  <c r="O69" i="4"/>
  <c r="N69" i="4"/>
  <c r="N68" i="4" s="1"/>
  <c r="M69" i="4"/>
  <c r="M68" i="4" s="1"/>
  <c r="L69" i="4"/>
  <c r="L68" i="4" s="1"/>
  <c r="K69" i="4"/>
  <c r="J69" i="4"/>
  <c r="J68" i="4" s="1"/>
  <c r="I69" i="4"/>
  <c r="I68" i="4" s="1"/>
  <c r="H69" i="4"/>
  <c r="H68" i="4" s="1"/>
  <c r="G69" i="4"/>
  <c r="G68" i="4" s="1"/>
  <c r="F69" i="4"/>
  <c r="F68" i="4" s="1"/>
  <c r="E69" i="4"/>
  <c r="E68" i="4" s="1"/>
  <c r="D69" i="4"/>
  <c r="D68" i="4" s="1"/>
  <c r="O68" i="4"/>
  <c r="K68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P36" i="4"/>
  <c r="P33" i="4" s="1"/>
  <c r="O36" i="4"/>
  <c r="O33" i="4" s="1"/>
  <c r="N36" i="4"/>
  <c r="M36" i="4"/>
  <c r="M33" i="4" s="1"/>
  <c r="L36" i="4"/>
  <c r="L33" i="4" s="1"/>
  <c r="K36" i="4"/>
  <c r="K33" i="4" s="1"/>
  <c r="J36" i="4"/>
  <c r="I36" i="4"/>
  <c r="I33" i="4" s="1"/>
  <c r="H36" i="4"/>
  <c r="H33" i="4" s="1"/>
  <c r="G36" i="4"/>
  <c r="G33" i="4" s="1"/>
  <c r="F36" i="4"/>
  <c r="F33" i="4" s="1"/>
  <c r="E36" i="4"/>
  <c r="E33" i="4" s="1"/>
  <c r="D36" i="4"/>
  <c r="D33" i="4" s="1"/>
  <c r="N33" i="4"/>
  <c r="J33" i="4"/>
  <c r="P28" i="4"/>
  <c r="P27" i="4" s="1"/>
  <c r="O28" i="4"/>
  <c r="O27" i="4" s="1"/>
  <c r="N28" i="4"/>
  <c r="N27" i="4" s="1"/>
  <c r="M28" i="4"/>
  <c r="M27" i="4" s="1"/>
  <c r="L28" i="4"/>
  <c r="L27" i="4" s="1"/>
  <c r="K28" i="4"/>
  <c r="K27" i="4" s="1"/>
  <c r="J28" i="4"/>
  <c r="J27" i="4" s="1"/>
  <c r="I28" i="4"/>
  <c r="I27" i="4" s="1"/>
  <c r="H28" i="4"/>
  <c r="H27" i="4" s="1"/>
  <c r="G28" i="4"/>
  <c r="G27" i="4" s="1"/>
  <c r="F28" i="4"/>
  <c r="F27" i="4" s="1"/>
  <c r="E28" i="4"/>
  <c r="E27" i="4" s="1"/>
  <c r="D28" i="4"/>
  <c r="D27" i="4" s="1"/>
  <c r="P24" i="4"/>
  <c r="P23" i="4" s="1"/>
  <c r="O24" i="4"/>
  <c r="O23" i="4" s="1"/>
  <c r="N24" i="4"/>
  <c r="N23" i="4" s="1"/>
  <c r="M24" i="4"/>
  <c r="M23" i="4" s="1"/>
  <c r="L24" i="4"/>
  <c r="L23" i="4" s="1"/>
  <c r="K24" i="4"/>
  <c r="K23" i="4" s="1"/>
  <c r="J24" i="4"/>
  <c r="J23" i="4" s="1"/>
  <c r="I24" i="4"/>
  <c r="I23" i="4" s="1"/>
  <c r="H24" i="4"/>
  <c r="H23" i="4" s="1"/>
  <c r="G24" i="4"/>
  <c r="G23" i="4" s="1"/>
  <c r="F24" i="4"/>
  <c r="F23" i="4" s="1"/>
  <c r="E24" i="4"/>
  <c r="E23" i="4" s="1"/>
  <c r="D24" i="4"/>
  <c r="D23" i="4" s="1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M114" i="5" l="1"/>
  <c r="M145" i="5" s="1"/>
  <c r="M148" i="5" s="1"/>
  <c r="I72" i="4"/>
  <c r="Q12" i="5"/>
  <c r="Q136" i="5"/>
  <c r="Q26" i="5"/>
  <c r="D100" i="4"/>
  <c r="G90" i="4"/>
  <c r="O90" i="4"/>
  <c r="Q142" i="5"/>
  <c r="Q138" i="5"/>
  <c r="Q33" i="5"/>
  <c r="Q15" i="5"/>
  <c r="Q29" i="5"/>
  <c r="Q84" i="5"/>
  <c r="Q43" i="5"/>
  <c r="Q100" i="5"/>
  <c r="Q40" i="5"/>
  <c r="Q88" i="5"/>
  <c r="Q92" i="5"/>
  <c r="Q146" i="5"/>
  <c r="H19" i="5"/>
  <c r="Q20" i="5"/>
  <c r="Q81" i="5"/>
  <c r="Q109" i="5"/>
  <c r="Q132" i="5"/>
  <c r="Q123" i="5"/>
  <c r="Q120" i="5"/>
  <c r="Q75" i="5"/>
  <c r="Q64" i="5"/>
  <c r="Q57" i="5"/>
  <c r="Q116" i="5"/>
  <c r="Q128" i="5"/>
  <c r="Q129" i="5"/>
  <c r="Q97" i="5"/>
  <c r="P100" i="4"/>
  <c r="N100" i="4"/>
  <c r="L100" i="4"/>
  <c r="J100" i="4"/>
  <c r="H100" i="4"/>
  <c r="F100" i="4"/>
  <c r="M90" i="4"/>
  <c r="H90" i="4"/>
  <c r="N53" i="4"/>
  <c r="N109" i="4" s="1"/>
  <c r="J53" i="4"/>
  <c r="J109" i="4" s="1"/>
  <c r="H53" i="4"/>
  <c r="P53" i="4"/>
  <c r="P109" i="4" s="1"/>
  <c r="Q104" i="4"/>
  <c r="O100" i="4"/>
  <c r="M100" i="4"/>
  <c r="K100" i="4"/>
  <c r="I100" i="4"/>
  <c r="G100" i="4"/>
  <c r="Q101" i="4"/>
  <c r="E100" i="4"/>
  <c r="N114" i="5"/>
  <c r="N145" i="5" s="1"/>
  <c r="L114" i="5"/>
  <c r="L145" i="5" s="1"/>
  <c r="L148" i="5" s="1"/>
  <c r="J114" i="5"/>
  <c r="J145" i="5" s="1"/>
  <c r="H114" i="5"/>
  <c r="F114" i="5"/>
  <c r="I90" i="4"/>
  <c r="E90" i="4"/>
  <c r="L53" i="4"/>
  <c r="L109" i="4" s="1"/>
  <c r="L112" i="4" s="1"/>
  <c r="F53" i="4"/>
  <c r="F109" i="4" s="1"/>
  <c r="M53" i="4"/>
  <c r="K53" i="4"/>
  <c r="K109" i="4" s="1"/>
  <c r="K112" i="4" s="1"/>
  <c r="I53" i="4"/>
  <c r="I109" i="4" s="1"/>
  <c r="G53" i="4"/>
  <c r="E53" i="4"/>
  <c r="E109" i="4" s="1"/>
  <c r="P114" i="5"/>
  <c r="L90" i="4"/>
  <c r="O114" i="5"/>
  <c r="O145" i="5" s="1"/>
  <c r="K114" i="5"/>
  <c r="K145" i="5" s="1"/>
  <c r="I114" i="5"/>
  <c r="I145" i="5" s="1"/>
  <c r="G114" i="5"/>
  <c r="E114" i="5"/>
  <c r="D114" i="5"/>
  <c r="O53" i="4"/>
  <c r="Q107" i="4"/>
  <c r="N90" i="4"/>
  <c r="P90" i="4"/>
  <c r="Q110" i="4"/>
  <c r="Q12" i="4"/>
  <c r="Q20" i="4"/>
  <c r="D90" i="4"/>
  <c r="Q83" i="4"/>
  <c r="Q59" i="4"/>
  <c r="D53" i="4"/>
  <c r="Q69" i="4"/>
  <c r="Q73" i="4"/>
  <c r="Q15" i="4"/>
  <c r="Q24" i="4"/>
  <c r="Q28" i="4"/>
  <c r="Q36" i="4"/>
  <c r="Q42" i="4"/>
  <c r="Q93" i="4"/>
  <c r="Q48" i="4"/>
  <c r="Q82" i="4"/>
  <c r="Q68" i="4"/>
  <c r="Q17" i="4"/>
  <c r="Q23" i="4"/>
  <c r="Q33" i="4"/>
  <c r="Q39" i="4"/>
  <c r="Q44" i="4"/>
  <c r="Q96" i="4"/>
  <c r="Q77" i="4"/>
  <c r="Q27" i="4"/>
  <c r="J112" i="4"/>
  <c r="N112" i="4"/>
  <c r="O167" i="2"/>
  <c r="O166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O165" i="2" s="1"/>
  <c r="B165" i="2"/>
  <c r="O164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O163" i="2" s="1"/>
  <c r="B163" i="2"/>
  <c r="O162" i="2"/>
  <c r="N161" i="2"/>
  <c r="M161" i="2"/>
  <c r="M160" i="2" s="1"/>
  <c r="M168" i="2" s="1"/>
  <c r="L161" i="2"/>
  <c r="K161" i="2"/>
  <c r="J161" i="2"/>
  <c r="I161" i="2"/>
  <c r="I160" i="2" s="1"/>
  <c r="I168" i="2" s="1"/>
  <c r="H161" i="2"/>
  <c r="G161" i="2"/>
  <c r="F161" i="2"/>
  <c r="E161" i="2"/>
  <c r="D161" i="2"/>
  <c r="C161" i="2"/>
  <c r="O161" i="2" s="1"/>
  <c r="B161" i="2"/>
  <c r="B160" i="2" s="1"/>
  <c r="B168" i="2" s="1"/>
  <c r="N160" i="2"/>
  <c r="N168" i="2" s="1"/>
  <c r="L160" i="2"/>
  <c r="L168" i="2" s="1"/>
  <c r="K160" i="2"/>
  <c r="K168" i="2" s="1"/>
  <c r="J160" i="2"/>
  <c r="J168" i="2" s="1"/>
  <c r="H160" i="2"/>
  <c r="H168" i="2" s="1"/>
  <c r="G160" i="2"/>
  <c r="F160" i="2"/>
  <c r="F168" i="2" s="1"/>
  <c r="E160" i="2"/>
  <c r="E168" i="2" s="1"/>
  <c r="D160" i="2"/>
  <c r="D168" i="2" s="1"/>
  <c r="C160" i="2"/>
  <c r="C168" i="2" s="1"/>
  <c r="O154" i="2"/>
  <c r="O153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O151" i="2"/>
  <c r="N150" i="2"/>
  <c r="M150" i="2"/>
  <c r="M147" i="2" s="1"/>
  <c r="M155" i="2" s="1"/>
  <c r="L150" i="2"/>
  <c r="K150" i="2"/>
  <c r="K147" i="2" s="1"/>
  <c r="K155" i="2" s="1"/>
  <c r="J150" i="2"/>
  <c r="I150" i="2"/>
  <c r="H150" i="2"/>
  <c r="G150" i="2"/>
  <c r="G147" i="2" s="1"/>
  <c r="G155" i="2" s="1"/>
  <c r="F150" i="2"/>
  <c r="E150" i="2"/>
  <c r="E147" i="2" s="1"/>
  <c r="E155" i="2" s="1"/>
  <c r="D150" i="2"/>
  <c r="C150" i="2"/>
  <c r="C147" i="2" s="1"/>
  <c r="B150" i="2"/>
  <c r="O149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O148" i="2" s="1"/>
  <c r="B148" i="2"/>
  <c r="B147" i="2" s="1"/>
  <c r="B155" i="2" s="1"/>
  <c r="P155" i="2" s="1"/>
  <c r="N147" i="2"/>
  <c r="N155" i="2" s="1"/>
  <c r="L147" i="2"/>
  <c r="L155" i="2" s="1"/>
  <c r="J147" i="2"/>
  <c r="J155" i="2" s="1"/>
  <c r="H147" i="2"/>
  <c r="H155" i="2" s="1"/>
  <c r="F147" i="2"/>
  <c r="F155" i="2" s="1"/>
  <c r="D147" i="2"/>
  <c r="D155" i="2" s="1"/>
  <c r="B139" i="2"/>
  <c r="O141" i="2"/>
  <c r="O140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O138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O137" i="2" s="1"/>
  <c r="B137" i="2"/>
  <c r="O136" i="2"/>
  <c r="N135" i="2"/>
  <c r="N134" i="2" s="1"/>
  <c r="N142" i="2" s="1"/>
  <c r="M135" i="2"/>
  <c r="L135" i="2"/>
  <c r="L134" i="2" s="1"/>
  <c r="K135" i="2"/>
  <c r="K134" i="2" s="1"/>
  <c r="J135" i="2"/>
  <c r="J134" i="2" s="1"/>
  <c r="J142" i="2" s="1"/>
  <c r="I135" i="2"/>
  <c r="H135" i="2"/>
  <c r="H134" i="2" s="1"/>
  <c r="H142" i="2" s="1"/>
  <c r="G135" i="2"/>
  <c r="G134" i="2" s="1"/>
  <c r="F135" i="2"/>
  <c r="F134" i="2" s="1"/>
  <c r="F142" i="2" s="1"/>
  <c r="E135" i="2"/>
  <c r="D135" i="2"/>
  <c r="D134" i="2" s="1"/>
  <c r="D142" i="2" s="1"/>
  <c r="C135" i="2"/>
  <c r="C134" i="2" s="1"/>
  <c r="B135" i="2"/>
  <c r="M134" i="2"/>
  <c r="I134" i="2"/>
  <c r="I142" i="2" s="1"/>
  <c r="E134" i="2"/>
  <c r="O128" i="2"/>
  <c r="N127" i="2"/>
  <c r="M127" i="2"/>
  <c r="L127" i="2"/>
  <c r="K127" i="2"/>
  <c r="K129" i="2" s="1"/>
  <c r="J127" i="2"/>
  <c r="I127" i="2"/>
  <c r="H127" i="2"/>
  <c r="G127" i="2"/>
  <c r="G129" i="2" s="1"/>
  <c r="F127" i="2"/>
  <c r="E127" i="2"/>
  <c r="E129" i="2" s="1"/>
  <c r="D127" i="2"/>
  <c r="C127" i="2"/>
  <c r="B127" i="2"/>
  <c r="O126" i="2"/>
  <c r="O125" i="2"/>
  <c r="M129" i="2"/>
  <c r="I129" i="2"/>
  <c r="F129" i="2"/>
  <c r="D129" i="2"/>
  <c r="C129" i="2"/>
  <c r="B129" i="2"/>
  <c r="O118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O116" i="2"/>
  <c r="O115" i="2"/>
  <c r="N114" i="2"/>
  <c r="N119" i="2" s="1"/>
  <c r="M114" i="2"/>
  <c r="L114" i="2"/>
  <c r="L119" i="2" s="1"/>
  <c r="K114" i="2"/>
  <c r="K119" i="2" s="1"/>
  <c r="J114" i="2"/>
  <c r="J119" i="2" s="1"/>
  <c r="I114" i="2"/>
  <c r="I119" i="2" s="1"/>
  <c r="H114" i="2"/>
  <c r="H119" i="2" s="1"/>
  <c r="G114" i="2"/>
  <c r="F114" i="2"/>
  <c r="F119" i="2" s="1"/>
  <c r="E114" i="2"/>
  <c r="E183" i="2" s="1"/>
  <c r="D114" i="2"/>
  <c r="D119" i="2" s="1"/>
  <c r="C114" i="2"/>
  <c r="B114" i="2"/>
  <c r="O108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O106" i="2"/>
  <c r="O105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C109" i="2" s="1"/>
  <c r="B104" i="2"/>
  <c r="O96" i="2"/>
  <c r="O95" i="2"/>
  <c r="C94" i="2"/>
  <c r="C99" i="2" s="1"/>
  <c r="D94" i="2"/>
  <c r="E94" i="2"/>
  <c r="E99" i="2" s="1"/>
  <c r="F94" i="2"/>
  <c r="G94" i="2"/>
  <c r="G99" i="2" s="1"/>
  <c r="H94" i="2"/>
  <c r="I94" i="2"/>
  <c r="I99" i="2" s="1"/>
  <c r="J94" i="2"/>
  <c r="K94" i="2"/>
  <c r="K99" i="2" s="1"/>
  <c r="L94" i="2"/>
  <c r="M94" i="2"/>
  <c r="N94" i="2"/>
  <c r="N99" i="2" s="1"/>
  <c r="B94" i="2"/>
  <c r="O98" i="2"/>
  <c r="N97" i="2"/>
  <c r="M97" i="2"/>
  <c r="L97" i="2"/>
  <c r="L99" i="2" s="1"/>
  <c r="K97" i="2"/>
  <c r="J97" i="2"/>
  <c r="I97" i="2"/>
  <c r="H97" i="2"/>
  <c r="H99" i="2" s="1"/>
  <c r="G97" i="2"/>
  <c r="F97" i="2"/>
  <c r="E97" i="2"/>
  <c r="D97" i="2"/>
  <c r="D99" i="2" s="1"/>
  <c r="C97" i="2"/>
  <c r="B97" i="2"/>
  <c r="J99" i="2"/>
  <c r="F99" i="2"/>
  <c r="B99" i="2"/>
  <c r="O88" i="2"/>
  <c r="O87" i="2"/>
  <c r="N86" i="2"/>
  <c r="C86" i="2"/>
  <c r="D86" i="2"/>
  <c r="F86" i="2"/>
  <c r="G86" i="2"/>
  <c r="H86" i="2"/>
  <c r="I86" i="2"/>
  <c r="J86" i="2"/>
  <c r="K86" i="2"/>
  <c r="L86" i="2"/>
  <c r="M86" i="2"/>
  <c r="B86" i="2"/>
  <c r="O85" i="2"/>
  <c r="O84" i="2"/>
  <c r="C83" i="2"/>
  <c r="D83" i="2"/>
  <c r="E83" i="2"/>
  <c r="F83" i="2"/>
  <c r="G83" i="2"/>
  <c r="H83" i="2"/>
  <c r="I83" i="2"/>
  <c r="J83" i="2"/>
  <c r="K83" i="2"/>
  <c r="L83" i="2"/>
  <c r="M83" i="2"/>
  <c r="N83" i="2"/>
  <c r="B83" i="2"/>
  <c r="C80" i="2"/>
  <c r="D80" i="2"/>
  <c r="D79" i="2" s="1"/>
  <c r="D89" i="2" s="1"/>
  <c r="E80" i="2"/>
  <c r="F80" i="2"/>
  <c r="F79" i="2" s="1"/>
  <c r="G80" i="2"/>
  <c r="H80" i="2"/>
  <c r="H79" i="2" s="1"/>
  <c r="H89" i="2" s="1"/>
  <c r="I80" i="2"/>
  <c r="J80" i="2"/>
  <c r="J79" i="2" s="1"/>
  <c r="J89" i="2" s="1"/>
  <c r="K80" i="2"/>
  <c r="L80" i="2"/>
  <c r="L79" i="2" s="1"/>
  <c r="L89" i="2" s="1"/>
  <c r="M80" i="2"/>
  <c r="N80" i="2"/>
  <c r="N79" i="2" s="1"/>
  <c r="N89" i="2" s="1"/>
  <c r="B80" i="2"/>
  <c r="O82" i="2"/>
  <c r="O81" i="2"/>
  <c r="O73" i="2"/>
  <c r="O71" i="2"/>
  <c r="O70" i="2"/>
  <c r="C69" i="2"/>
  <c r="D69" i="2"/>
  <c r="E69" i="2"/>
  <c r="F69" i="2"/>
  <c r="G69" i="2"/>
  <c r="G74" i="2" s="1"/>
  <c r="H69" i="2"/>
  <c r="H74" i="2" s="1"/>
  <c r="I69" i="2"/>
  <c r="J69" i="2"/>
  <c r="K69" i="2"/>
  <c r="L69" i="2"/>
  <c r="M69" i="2"/>
  <c r="N69" i="2"/>
  <c r="B69" i="2"/>
  <c r="B74" i="2" s="1"/>
  <c r="N72" i="2"/>
  <c r="M72" i="2"/>
  <c r="L72" i="2"/>
  <c r="L74" i="2" s="1"/>
  <c r="K72" i="2"/>
  <c r="J72" i="2"/>
  <c r="J74" i="2" s="1"/>
  <c r="I72" i="2"/>
  <c r="H72" i="2"/>
  <c r="G72" i="2"/>
  <c r="F72" i="2"/>
  <c r="E72" i="2"/>
  <c r="D72" i="2"/>
  <c r="C72" i="2"/>
  <c r="B72" i="2"/>
  <c r="M74" i="2"/>
  <c r="K74" i="2"/>
  <c r="I74" i="2"/>
  <c r="F74" i="2"/>
  <c r="E74" i="2"/>
  <c r="D74" i="2"/>
  <c r="C74" i="2"/>
  <c r="O63" i="2"/>
  <c r="O62" i="2"/>
  <c r="C61" i="2"/>
  <c r="D61" i="2"/>
  <c r="E61" i="2"/>
  <c r="F61" i="2"/>
  <c r="G61" i="2"/>
  <c r="H61" i="2"/>
  <c r="I61" i="2"/>
  <c r="J61" i="2"/>
  <c r="K61" i="2"/>
  <c r="L61" i="2"/>
  <c r="M61" i="2"/>
  <c r="N61" i="2"/>
  <c r="B61" i="2"/>
  <c r="O57" i="2"/>
  <c r="O58" i="2"/>
  <c r="O59" i="2"/>
  <c r="O60" i="2"/>
  <c r="O51" i="2"/>
  <c r="O52" i="2"/>
  <c r="O53" i="2"/>
  <c r="O54" i="2"/>
  <c r="O50" i="2"/>
  <c r="C55" i="2"/>
  <c r="D55" i="2"/>
  <c r="E55" i="2"/>
  <c r="F55" i="2"/>
  <c r="G55" i="2"/>
  <c r="H55" i="2"/>
  <c r="I55" i="2"/>
  <c r="J55" i="2"/>
  <c r="K55" i="2"/>
  <c r="L55" i="2"/>
  <c r="M55" i="2"/>
  <c r="N55" i="2"/>
  <c r="B55" i="2"/>
  <c r="C49" i="2"/>
  <c r="D49" i="2"/>
  <c r="E49" i="2"/>
  <c r="F49" i="2"/>
  <c r="G49" i="2"/>
  <c r="H49" i="2"/>
  <c r="I49" i="2"/>
  <c r="J49" i="2"/>
  <c r="K49" i="2"/>
  <c r="L49" i="2"/>
  <c r="M49" i="2"/>
  <c r="N49" i="2"/>
  <c r="B49" i="2"/>
  <c r="O114" i="2" l="1"/>
  <c r="O183" i="2" s="1"/>
  <c r="C119" i="2"/>
  <c r="C183" i="2"/>
  <c r="P145" i="5"/>
  <c r="P148" i="5" s="1"/>
  <c r="Q19" i="5"/>
  <c r="H145" i="5"/>
  <c r="H148" i="5" s="1"/>
  <c r="O109" i="4"/>
  <c r="O112" i="4" s="1"/>
  <c r="M109" i="4"/>
  <c r="M112" i="4" s="1"/>
  <c r="H109" i="4"/>
  <c r="H112" i="4" s="1"/>
  <c r="G109" i="4"/>
  <c r="G112" i="4" s="1"/>
  <c r="E112" i="4"/>
  <c r="B119" i="2"/>
  <c r="Q72" i="4"/>
  <c r="N148" i="5"/>
  <c r="D145" i="5"/>
  <c r="D148" i="5" s="1"/>
  <c r="G168" i="2"/>
  <c r="O168" i="2" s="1"/>
  <c r="P168" i="2" s="1"/>
  <c r="Q114" i="5"/>
  <c r="Q50" i="5"/>
  <c r="Q100" i="4"/>
  <c r="P112" i="4"/>
  <c r="I112" i="4"/>
  <c r="M99" i="2"/>
  <c r="O148" i="5"/>
  <c r="J148" i="5"/>
  <c r="F148" i="5"/>
  <c r="K148" i="5"/>
  <c r="I148" i="5"/>
  <c r="Q90" i="4"/>
  <c r="O86" i="2"/>
  <c r="F89" i="2"/>
  <c r="G119" i="2"/>
  <c r="E119" i="2"/>
  <c r="O72" i="2"/>
  <c r="G148" i="5"/>
  <c r="Q53" i="4"/>
  <c r="M109" i="2"/>
  <c r="K109" i="2"/>
  <c r="I109" i="2"/>
  <c r="G109" i="2"/>
  <c r="E109" i="2"/>
  <c r="L142" i="2"/>
  <c r="M142" i="2"/>
  <c r="K142" i="2"/>
  <c r="G142" i="2"/>
  <c r="E142" i="2"/>
  <c r="C142" i="2"/>
  <c r="O152" i="2"/>
  <c r="I147" i="2"/>
  <c r="I155" i="2" s="1"/>
  <c r="D112" i="4"/>
  <c r="F112" i="4"/>
  <c r="O160" i="2"/>
  <c r="C155" i="2"/>
  <c r="O147" i="2"/>
  <c r="O150" i="2"/>
  <c r="M48" i="2"/>
  <c r="M64" i="2" s="1"/>
  <c r="K48" i="2"/>
  <c r="K64" i="2" s="1"/>
  <c r="I48" i="2"/>
  <c r="I64" i="2" s="1"/>
  <c r="G48" i="2"/>
  <c r="G64" i="2" s="1"/>
  <c r="E48" i="2"/>
  <c r="E64" i="2" s="1"/>
  <c r="C48" i="2"/>
  <c r="M119" i="2"/>
  <c r="H129" i="2"/>
  <c r="J129" i="2"/>
  <c r="L129" i="2"/>
  <c r="N129" i="2"/>
  <c r="O61" i="2"/>
  <c r="O69" i="2"/>
  <c r="O83" i="2"/>
  <c r="N48" i="2"/>
  <c r="N64" i="2" s="1"/>
  <c r="L48" i="2"/>
  <c r="L64" i="2" s="1"/>
  <c r="J48" i="2"/>
  <c r="J64" i="2" s="1"/>
  <c r="H48" i="2"/>
  <c r="H64" i="2" s="1"/>
  <c r="F48" i="2"/>
  <c r="F64" i="2" s="1"/>
  <c r="D48" i="2"/>
  <c r="D64" i="2" s="1"/>
  <c r="O55" i="2"/>
  <c r="B79" i="2"/>
  <c r="B89" i="2" s="1"/>
  <c r="M79" i="2"/>
  <c r="M89" i="2" s="1"/>
  <c r="K79" i="2"/>
  <c r="K89" i="2" s="1"/>
  <c r="I79" i="2"/>
  <c r="I89" i="2" s="1"/>
  <c r="G79" i="2"/>
  <c r="G89" i="2" s="1"/>
  <c r="E79" i="2"/>
  <c r="E89" i="2" s="1"/>
  <c r="C79" i="2"/>
  <c r="C89" i="2" s="1"/>
  <c r="O97" i="2"/>
  <c r="O99" i="2" s="1"/>
  <c r="D109" i="2"/>
  <c r="F109" i="2"/>
  <c r="H109" i="2"/>
  <c r="J109" i="2"/>
  <c r="L109" i="2"/>
  <c r="N109" i="2"/>
  <c r="O107" i="2"/>
  <c r="O109" i="2" s="1"/>
  <c r="O117" i="2"/>
  <c r="O119" i="2" s="1"/>
  <c r="O127" i="2"/>
  <c r="O129" i="2" s="1"/>
  <c r="O135" i="2"/>
  <c r="O139" i="2"/>
  <c r="B134" i="2"/>
  <c r="B142" i="2" s="1"/>
  <c r="O134" i="2"/>
  <c r="B109" i="2"/>
  <c r="C64" i="2"/>
  <c r="O79" i="2"/>
  <c r="O49" i="2"/>
  <c r="O80" i="2"/>
  <c r="N74" i="2"/>
  <c r="O74" i="2" s="1"/>
  <c r="B48" i="2"/>
  <c r="B64" i="2" s="1"/>
  <c r="O42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O40" i="2"/>
  <c r="O39" i="2" s="1"/>
  <c r="N39" i="2"/>
  <c r="N43" i="2" s="1"/>
  <c r="M39" i="2"/>
  <c r="M43" i="2" s="1"/>
  <c r="L39" i="2"/>
  <c r="L43" i="2" s="1"/>
  <c r="K39" i="2"/>
  <c r="K43" i="2" s="1"/>
  <c r="J39" i="2"/>
  <c r="J43" i="2" s="1"/>
  <c r="I39" i="2"/>
  <c r="I43" i="2" s="1"/>
  <c r="H39" i="2"/>
  <c r="H43" i="2" s="1"/>
  <c r="G39" i="2"/>
  <c r="G43" i="2" s="1"/>
  <c r="F39" i="2"/>
  <c r="F43" i="2" s="1"/>
  <c r="E39" i="2"/>
  <c r="E43" i="2" s="1"/>
  <c r="D39" i="2"/>
  <c r="D43" i="2" s="1"/>
  <c r="C39" i="2"/>
  <c r="B39" i="2"/>
  <c r="B43" i="2" s="1"/>
  <c r="O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O31" i="2"/>
  <c r="O30" i="2" s="1"/>
  <c r="N30" i="2"/>
  <c r="N34" i="2" s="1"/>
  <c r="M30" i="2"/>
  <c r="M34" i="2" s="1"/>
  <c r="L30" i="2"/>
  <c r="L34" i="2" s="1"/>
  <c r="K30" i="2"/>
  <c r="K34" i="2" s="1"/>
  <c r="J30" i="2"/>
  <c r="J34" i="2" s="1"/>
  <c r="I30" i="2"/>
  <c r="I34" i="2" s="1"/>
  <c r="H30" i="2"/>
  <c r="H34" i="2" s="1"/>
  <c r="G30" i="2"/>
  <c r="G34" i="2" s="1"/>
  <c r="F30" i="2"/>
  <c r="F34" i="2" s="1"/>
  <c r="E30" i="2"/>
  <c r="E34" i="2" s="1"/>
  <c r="D30" i="2"/>
  <c r="D34" i="2" s="1"/>
  <c r="C30" i="2"/>
  <c r="C34" i="2" s="1"/>
  <c r="B30" i="2"/>
  <c r="O24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O22" i="2"/>
  <c r="O21" i="2" s="1"/>
  <c r="N21" i="2"/>
  <c r="N25" i="2" s="1"/>
  <c r="M21" i="2"/>
  <c r="L21" i="2"/>
  <c r="L25" i="2" s="1"/>
  <c r="K21" i="2"/>
  <c r="J21" i="2"/>
  <c r="J25" i="2" s="1"/>
  <c r="I21" i="2"/>
  <c r="I25" i="2" s="1"/>
  <c r="H21" i="2"/>
  <c r="H25" i="2" s="1"/>
  <c r="G21" i="2"/>
  <c r="F21" i="2"/>
  <c r="F25" i="2" s="1"/>
  <c r="E21" i="2"/>
  <c r="E25" i="2" s="1"/>
  <c r="D21" i="2"/>
  <c r="D25" i="2" s="1"/>
  <c r="C21" i="2"/>
  <c r="C25" i="2" s="1"/>
  <c r="B21" i="2"/>
  <c r="O1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O13" i="2"/>
  <c r="O12" i="2" s="1"/>
  <c r="N12" i="2"/>
  <c r="N16" i="2" s="1"/>
  <c r="M12" i="2"/>
  <c r="M16" i="2" s="1"/>
  <c r="L12" i="2"/>
  <c r="L16" i="2" s="1"/>
  <c r="K12" i="2"/>
  <c r="K16" i="2" s="1"/>
  <c r="J12" i="2"/>
  <c r="J16" i="2" s="1"/>
  <c r="I12" i="2"/>
  <c r="I16" i="2" s="1"/>
  <c r="H12" i="2"/>
  <c r="H16" i="2" s="1"/>
  <c r="G12" i="2"/>
  <c r="G16" i="2" s="1"/>
  <c r="F12" i="2"/>
  <c r="F16" i="2" s="1"/>
  <c r="E12" i="2"/>
  <c r="E16" i="2" s="1"/>
  <c r="D12" i="2"/>
  <c r="D16" i="2" s="1"/>
  <c r="C12" i="2"/>
  <c r="C16" i="2" s="1"/>
  <c r="B12" i="2"/>
  <c r="Q145" i="5" l="1"/>
  <c r="Q109" i="4"/>
  <c r="O142" i="2"/>
  <c r="P142" i="2" s="1"/>
  <c r="Q112" i="4"/>
  <c r="C43" i="2"/>
  <c r="E148" i="5"/>
  <c r="Q148" i="5" s="1"/>
  <c r="O89" i="2"/>
  <c r="G25" i="2"/>
  <c r="O64" i="2"/>
  <c r="P64" i="2" s="1"/>
  <c r="O155" i="2"/>
  <c r="O23" i="2"/>
  <c r="O25" i="2" s="1"/>
  <c r="O32" i="2"/>
  <c r="O34" i="2" s="1"/>
  <c r="O41" i="2"/>
  <c r="O48" i="2"/>
  <c r="O14" i="2"/>
  <c r="O16" i="2" s="1"/>
  <c r="K25" i="2"/>
  <c r="M25" i="2"/>
  <c r="B34" i="2"/>
  <c r="B25" i="2"/>
  <c r="B16" i="2"/>
  <c r="O43" i="2" l="1"/>
</calcChain>
</file>

<file path=xl/sharedStrings.xml><?xml version="1.0" encoding="utf-8"?>
<sst xmlns="http://schemas.openxmlformats.org/spreadsheetml/2006/main" count="864" uniqueCount="258">
  <si>
    <t>do Uchwały Nr V/…../17</t>
  </si>
  <si>
    <t>Zarządu Powiatu Zduńskowolskiego</t>
  </si>
  <si>
    <t xml:space="preserve">z dnia </t>
  </si>
  <si>
    <t>miesiące</t>
  </si>
  <si>
    <t>PLAN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</si>
  <si>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</si>
  <si>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</si>
  <si>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</si>
  <si>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</si>
  <si>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</si>
  <si>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</si>
  <si>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</si>
  <si>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</si>
  <si>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</si>
  <si>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</si>
  <si>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</si>
  <si>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</si>
  <si>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Aktywna Dolina Rzeki Warty</t>
  </si>
  <si>
    <t>Realizator: Powiat Zduńskowolski</t>
  </si>
  <si>
    <t>Planowane dochody:</t>
  </si>
  <si>
    <t>Planowane wydatki:</t>
  </si>
  <si>
    <t>Wydatki</t>
  </si>
  <si>
    <t>Dochody - wydatki</t>
  </si>
  <si>
    <t>Razem 2017</t>
  </si>
  <si>
    <t>środki budżetu państwa</t>
  </si>
  <si>
    <t>środki Gminy Zduńska Wola</t>
  </si>
  <si>
    <t>środki Powiatu Łaskiego</t>
  </si>
  <si>
    <t>środki Gminy Sędziejowice</t>
  </si>
  <si>
    <t>środki UE</t>
  </si>
  <si>
    <t>Realizator: Zespół Szkół Zawodowych Nr 1 w Zduńskiej Woli</t>
  </si>
  <si>
    <t>Przedsiębiorczy Powiat Zduńskowolski</t>
  </si>
  <si>
    <t>Załącznik Nr 4</t>
  </si>
  <si>
    <t>HARMONOGRAM DOCHODÓW I WYDATKÓW BUDŻETU POWIATU NA 2017 ROK w zakresie projektów "miękkich" realizowanych z udziałem środków z budżetu UE</t>
  </si>
  <si>
    <t>Nazwa projektu:</t>
  </si>
  <si>
    <t>Od Montessori do samodzielności II</t>
  </si>
  <si>
    <t>Realizator: Zespół Szkół Specjalnych im. M. Grzegorzewskiej w Zduńskiej Woli</t>
  </si>
  <si>
    <t>Zagraniczne staże uczniowskie</t>
  </si>
  <si>
    <t>Realizator: Zespół Szkół im. K. Kałużewskiego i J. Sylli w Zduńskiej Woli</t>
  </si>
  <si>
    <t>Wyższe kompetencje językowe nauczycieli zawodu kluczem do sukcesu zawodowego uczniów Zespołu Szkół Elektronicznych</t>
  </si>
  <si>
    <t>Realizator: Zespół Szkół Elektronicznych w Zduńskiej Woli</t>
  </si>
  <si>
    <t>Rodzinka jest dobra na wszystko</t>
  </si>
  <si>
    <t>Realizator: Powiatowe Centrum Pomocy Rodzinie w Zduńskiej Woli</t>
  </si>
  <si>
    <t>Miejski Obszar Funkcjonalny Zduńska Wola- Karsznice- budowa łącznika z drogą ekspresową S8 na terenie powiatu zduńskowolskiego i powiatu łaskiego</t>
  </si>
  <si>
    <t>Planowane dochody ogółem, z tego:</t>
  </si>
  <si>
    <t>Planowane dochody bieżące, w tym:</t>
  </si>
  <si>
    <t>środki Miasta Zduńska Wola</t>
  </si>
  <si>
    <t>Planowane dochody majątkowe, w tym:</t>
  </si>
  <si>
    <t>Planowane wydatki ogółem, z tego:</t>
  </si>
  <si>
    <t>Wydatki bieżące</t>
  </si>
  <si>
    <t>Wydatki majątkowe</t>
  </si>
  <si>
    <t>Od mechanika do wykwalifikowanego pracownika</t>
  </si>
  <si>
    <t>Kreatywni dziś- kreatywni jutro</t>
  </si>
  <si>
    <t>Planowane dochody ogółem z tego:</t>
  </si>
  <si>
    <t>Planowane wydatki ogółem z tego:</t>
  </si>
  <si>
    <t>Wyższe kwalifikacje uczniów Zespołu Szkół Elektronicznych odpowiedzią na potrzeby rynku pracy</t>
  </si>
  <si>
    <t>Więcej kompetencji i umiejętności zawodowych dla uczniów Technikum nr 3 w Zduńskiej Woli</t>
  </si>
  <si>
    <t>Wirtualna nauka- rzeczywiste umiejętności</t>
  </si>
  <si>
    <t>Bogactwo szkoły bogactwem edukacji. Kompleksowe działania na rzecz indywidualizacji pracy z uczniem z niepełnosprawnością</t>
  </si>
  <si>
    <t>Program zarządzania energią w budynkach użyteczności publicznej Powiatu Zduńskowolskiego - Etap II</t>
  </si>
  <si>
    <t xml:space="preserve"> (z wyłączniem zadań majątkowych oraz realizowanych z udziałem środków z budżetu UE)</t>
  </si>
  <si>
    <t>Dział</t>
  </si>
  <si>
    <t>Nazwa działu</t>
  </si>
  <si>
    <t>Rozdział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</si>
  <si>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</si>
  <si>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</si>
  <si>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</si>
  <si>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</si>
  <si>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</si>
  <si>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</si>
  <si>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</si>
  <si>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</si>
  <si>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</si>
  <si>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</si>
  <si>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</si>
  <si>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</si>
  <si>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010</t>
  </si>
  <si>
    <t>Rolnictwo i łowiectwo</t>
  </si>
  <si>
    <t>Pozostała działalność</t>
  </si>
  <si>
    <t>01095</t>
  </si>
  <si>
    <t>020</t>
  </si>
  <si>
    <t>Leśnictwo</t>
  </si>
  <si>
    <t>02095</t>
  </si>
  <si>
    <t>050</t>
  </si>
  <si>
    <t>Rybołówstwo i rybactwo</t>
  </si>
  <si>
    <t>05095</t>
  </si>
  <si>
    <t>Transport i łączność</t>
  </si>
  <si>
    <t>Drogi publiczne powiatowe</t>
  </si>
  <si>
    <t>Gospodarka mieszkaniowa</t>
  </si>
  <si>
    <t>Gospodarka gruntami i nieruchomościami</t>
  </si>
  <si>
    <t>Dochody własne</t>
  </si>
  <si>
    <t>Dochody z zadań zleconych</t>
  </si>
  <si>
    <t>Działalność usługowa</t>
  </si>
  <si>
    <t>Nadzór budowlany</t>
  </si>
  <si>
    <t>Organizacja targów i wystaw</t>
  </si>
  <si>
    <t>Administracja publiczna</t>
  </si>
  <si>
    <t>Urzędy wojewódzkie</t>
  </si>
  <si>
    <t>Starostwa powiatowe</t>
  </si>
  <si>
    <t>Komisje poborowe</t>
  </si>
  <si>
    <t>Dochody z porozumień z Administracją Rządową</t>
  </si>
  <si>
    <t>Bezpieczeństwo publiczne....</t>
  </si>
  <si>
    <t>Komendy powiatowe Państwowej Straży Pożarnej</t>
  </si>
  <si>
    <t>Wymiar sprawiedliwości</t>
  </si>
  <si>
    <t>Nieodpłatna pomoc prawna</t>
  </si>
  <si>
    <t>Dochody od osób prawnych, od osób fizycznych i od innych jednostek nieposiadających osobowości prawnej oraz wydatki z ich poborem</t>
  </si>
  <si>
    <t>Wpływy z innych opłat stanowiących dochody jednostek samorządu terytorialnego</t>
  </si>
  <si>
    <t>Udziały powiatów w podatkach PIT</t>
  </si>
  <si>
    <t>Udziały powiatów w podatkach CIT</t>
  </si>
  <si>
    <t>Rozliczenia różne</t>
  </si>
  <si>
    <t>Część oświatowa subwencji ogólnej dla jednostek samorządu terytorialnego</t>
  </si>
  <si>
    <t>Część wyrównawcza subwencji ogólnej dla powiatów</t>
  </si>
  <si>
    <t>Różne rozliczenia finansowe</t>
  </si>
  <si>
    <t>Część równoważąca subwencji ogólnej dla powiatów</t>
  </si>
  <si>
    <t>Oświata i wychowanie</t>
  </si>
  <si>
    <t>Szkoły podstawowe specjalne</t>
  </si>
  <si>
    <t>Licea ogólnokształcące</t>
  </si>
  <si>
    <t>I Liceum Ogólnokształcące im. K. Wielkiego</t>
  </si>
  <si>
    <t>II Liceum Ogólnokształcące</t>
  </si>
  <si>
    <t>Szkoły zawodowe</t>
  </si>
  <si>
    <t>Zespół Szkół Zawodowych Nr 1</t>
  </si>
  <si>
    <t>Zespół Szkół Elektronicznych</t>
  </si>
  <si>
    <t>ZSRCKU w Wojsławicach</t>
  </si>
  <si>
    <t>Zespół Szkół im. K. Kałużewskiego i J. Sylli</t>
  </si>
  <si>
    <t>Centrum Kształcenia Ustawicznego</t>
  </si>
  <si>
    <t>Inne formy kształcenia osobno niewymienione</t>
  </si>
  <si>
    <t>Stołówki szkolne</t>
  </si>
  <si>
    <t>Kwalifikacyjne kursy zawodowe</t>
  </si>
  <si>
    <t>Ochrona zdrowia</t>
  </si>
  <si>
    <t>Składki na ubezpieczenie zdrowotne oraz świadczenia</t>
  </si>
  <si>
    <t>Dom Dziecka im. św. M.M. Kolbego</t>
  </si>
  <si>
    <t>Powiatowy Urząd Pracy</t>
  </si>
  <si>
    <t>Pomoc  społeczna</t>
  </si>
  <si>
    <t>Domy pomocy społecznej</t>
  </si>
  <si>
    <t>Dom Pomocy Społecznej w Zd- Woli</t>
  </si>
  <si>
    <t>Dom Pomocy Społecznej w Przatówku</t>
  </si>
  <si>
    <t>Dotacje celowe</t>
  </si>
  <si>
    <t>Ośrodki wsparcia</t>
  </si>
  <si>
    <t>Rodziny zastępcze</t>
  </si>
  <si>
    <t>Powiatowe centra pomocy rodzinie</t>
  </si>
  <si>
    <t>Pozostałe zadania w zakresie polityki społecznej</t>
  </si>
  <si>
    <t>Zespoły ds. orzekania o stopniu niepełnosprawności</t>
  </si>
  <si>
    <t>Fundusz Pracy</t>
  </si>
  <si>
    <t>Państwowy Fundusz Rehabilitacji Osób Niepełnosprawnych</t>
  </si>
  <si>
    <t>Powiatowe urzędy pracy</t>
  </si>
  <si>
    <t>Edukacyjna opieka wychowawcza</t>
  </si>
  <si>
    <t>Poradnie psychologiczno - pedagogiczne w tym poradnie...</t>
  </si>
  <si>
    <t>Placówki wychowania pozaszkolnego</t>
  </si>
  <si>
    <t>Internaty i bursy szkolne</t>
  </si>
  <si>
    <t>Szkolne schroniska młodzieżowe</t>
  </si>
  <si>
    <t>PCKSiR</t>
  </si>
  <si>
    <t>Gospodarka komunalna i ochrona środowiska</t>
  </si>
  <si>
    <t>Wpływy i wydatki związane z gromadzeniem środków z opłat i kar za korzystanie ze środowiska</t>
  </si>
  <si>
    <t>RAZEM DOCHODY</t>
  </si>
  <si>
    <t>Przychody ogółem, w tym:</t>
  </si>
  <si>
    <t>Przychody z zaciągnietych kredytów (…)</t>
  </si>
  <si>
    <t>RAZEM DOCHODY I PRZYCHODY</t>
  </si>
  <si>
    <t>HARMONOGRAM DOCHODÓW BUDŻETU POWIATU NA 2017 ROK</t>
  </si>
  <si>
    <t>Dochody plan na 2017 rok</t>
  </si>
  <si>
    <t xml:space="preserve">Prace geodezyjno- urządzeniowe </t>
  </si>
  <si>
    <t>01005</t>
  </si>
  <si>
    <t>*Powiatowy Zarząd Dróg</t>
  </si>
  <si>
    <t>Rodzina</t>
  </si>
  <si>
    <t>Działalność placówek opiekuńczo- wychowawczych</t>
  </si>
  <si>
    <t>*Dom Dziecka im. św. M. M. Kolbego</t>
  </si>
  <si>
    <t>*PCPR</t>
  </si>
  <si>
    <t>*zadania własne</t>
  </si>
  <si>
    <t>*zadania zlecone</t>
  </si>
  <si>
    <t>(z wyłączniem zadań majątkowych oraz realizowanych z udziałem środków z budżetu UE)</t>
  </si>
  <si>
    <t>Gospodarka leśna</t>
  </si>
  <si>
    <t>02001</t>
  </si>
  <si>
    <t>Nadzór nad gospodarką leśną</t>
  </si>
  <si>
    <t>02002</t>
  </si>
  <si>
    <t>Drogi publiczne i powiatowe</t>
  </si>
  <si>
    <t>Turystyka</t>
  </si>
  <si>
    <t>Rady powiatów</t>
  </si>
  <si>
    <t>Promocja jednostek samorządu terytorialnego</t>
  </si>
  <si>
    <t>Obsługa długu publicznego</t>
  </si>
  <si>
    <t>Obsługa papierów wartościowych</t>
  </si>
  <si>
    <t>Rezerwy ogólne i celowe</t>
  </si>
  <si>
    <t>Przedszkola specjalne</t>
  </si>
  <si>
    <t xml:space="preserve">Gimnazja  </t>
  </si>
  <si>
    <t>Gimnazja specjalne</t>
  </si>
  <si>
    <t>Szkoły zawodowe specjalne</t>
  </si>
  <si>
    <t>Dokształcanie i doskonalenie nauczycieli</t>
  </si>
  <si>
    <t>Realizacja zadań wymagających stosowania (…)</t>
  </si>
  <si>
    <t>Kwalifikacyjne  kursy zawodowe</t>
  </si>
  <si>
    <t>Szpitale ogólne</t>
  </si>
  <si>
    <t>Zapobieganie i zwalczanie AIDS</t>
  </si>
  <si>
    <t>Przeciwdziałanie alkoholizmowi</t>
  </si>
  <si>
    <t>PUP</t>
  </si>
  <si>
    <t>PCPR</t>
  </si>
  <si>
    <t>Jednostki specjalistycznego poradnictwa, mieszkania chronione (…)</t>
  </si>
  <si>
    <t>Rehabilitacja zawodowa i społeczna osób (...)</t>
  </si>
  <si>
    <t>Zespoły ds. orzekania o stopniu niepełnospr.</t>
  </si>
  <si>
    <t>Wczesne wspomaganie rozwoju dziecka</t>
  </si>
  <si>
    <t>Kultura i ochr. dziedzictwa narod.</t>
  </si>
  <si>
    <t>Biblioteki</t>
  </si>
  <si>
    <t>Ochrona zabytków i opieka nad zabytkami</t>
  </si>
  <si>
    <t>Kultura fizyczna i sport</t>
  </si>
  <si>
    <t>Zadania w zakresie kultury fizycznej i sportu</t>
  </si>
  <si>
    <t>RAZEM WYDATKI</t>
  </si>
  <si>
    <t>Rozchody ogółem, w tym:</t>
  </si>
  <si>
    <t>Spłaty otrzymanych krajowych pożyczek i kredytów</t>
  </si>
  <si>
    <t>§ 992</t>
  </si>
  <si>
    <t>RAZEM WYDATKI I ROZCHODY</t>
  </si>
  <si>
    <t>Załącznik Nr 1</t>
  </si>
  <si>
    <t>Załącznik Nr 2</t>
  </si>
  <si>
    <t xml:space="preserve">HARMONOGRAM WYDATKÓW BUDŻETU POWIATU NA 2017 ROK </t>
  </si>
  <si>
    <t>Wydatki plan na 2017 rok</t>
  </si>
  <si>
    <t>Prace geodezyjno- urządzeniowe na potrzeby rolnictwa</t>
  </si>
  <si>
    <t>*Wydział IF</t>
  </si>
  <si>
    <t>*PZD</t>
  </si>
  <si>
    <t>*ZSRCKU w Wojsławicach</t>
  </si>
  <si>
    <t>*ZSZ Nr 1</t>
  </si>
  <si>
    <t>*I LO</t>
  </si>
  <si>
    <t>*II LO</t>
  </si>
  <si>
    <t>*ZS</t>
  </si>
  <si>
    <t>*CKU</t>
  </si>
  <si>
    <t>*Szkoły dotowane</t>
  </si>
  <si>
    <t>*ZSE</t>
  </si>
  <si>
    <t>*ZSRCKU</t>
  </si>
  <si>
    <t>*Wydział ED</t>
  </si>
  <si>
    <t>*DD w Wojsławicach</t>
  </si>
  <si>
    <t>*PUP</t>
  </si>
  <si>
    <t>*DPS Zduńska Wola</t>
  </si>
  <si>
    <t>*DPS Przatówek</t>
  </si>
  <si>
    <t>*ŚDS Przatówek</t>
  </si>
  <si>
    <t>*ŚDS ul. Łaska 59</t>
  </si>
  <si>
    <t>*ŚDS ul. Dąbrowskiego 15</t>
  </si>
  <si>
    <t>*P P-P</t>
  </si>
  <si>
    <t>*ZS RCKU w Wojsławicach</t>
  </si>
  <si>
    <t>*PCKSiR</t>
  </si>
  <si>
    <t>Działalność placówek opiekuńczo - wychowawczych</t>
  </si>
  <si>
    <t>Dotacja z budżetu państwa (podręczniki)</t>
  </si>
  <si>
    <t>Zadania w zakresie przeciwdziałania przemocy w rodzinie</t>
  </si>
  <si>
    <t>Wydział FK</t>
  </si>
  <si>
    <t>Nowoczesny zawód w nowoczesnej szkole- Modernizacja Zespołu Szkół w Zduńskiej Woli Karsznicach- zadanie II: budowa budynku z 3 salami dydaktycznymi dla klas o profilach: hotelarskim, gastronomicznym i kolejowym wraz z I wyposażeniem</t>
  </si>
  <si>
    <t>PRZYCHODY BUDŻETU POWIATU NA ROK 2017</t>
  </si>
  <si>
    <t>Załącznik Nr 5</t>
  </si>
  <si>
    <t>Wyszczególnienie</t>
  </si>
  <si>
    <t>Plan na 2017 rok</t>
  </si>
  <si>
    <t>Załącznik Nr 6</t>
  </si>
  <si>
    <t>ROZCHODY BUDŻETU POWIATU NA ROK 2017</t>
  </si>
  <si>
    <t>z dnia 20 czerwca 2017 r.</t>
  </si>
  <si>
    <t>*</t>
  </si>
  <si>
    <t>Razem 2018</t>
  </si>
  <si>
    <t>**</t>
  </si>
  <si>
    <t>*w ramach oznaczonej kwoty, kwota 24 985 zł wpłynie jako refundacja w 2019 r.</t>
  </si>
  <si>
    <t>**w ramach oznaczonej kwoty, kwota 3 688 325 zł wpłynie jako refundacja w 2019 r.</t>
  </si>
  <si>
    <t>*w ramach oznaczonej kwoty, kwota 7 650 zł wpłynie jako refundacja w 2019 r., w tej kwocie mieści się również kwota 12 550 zł stanowiąca refundację z 2017 roku</t>
  </si>
  <si>
    <t>do Uchwały Nr V/…../18</t>
  </si>
  <si>
    <t>*w ramach oznaczonej kwoty, kwota 9 621 zł wpłynie jako refundacja w 2019 r., w tej kwocie mieści się również kwota 15 714 zł stanowiąca refundację z 2017 roku</t>
  </si>
  <si>
    <t>**w ramach oznaczonej kwoty, kwota 838 667 zł wpłynie jako refundacja w roku 2019</t>
  </si>
  <si>
    <t>HARMONOGRAM DOCHODÓW I WYDATKÓW BUDŻETU POWIATU NA 2018 ROK w zakresie projektów "miękkich" realizowanych z udziałem środków z budżetu UE</t>
  </si>
  <si>
    <t>Załącznik Nr 3</t>
  </si>
  <si>
    <t>środki FRKF</t>
  </si>
  <si>
    <t>**w ramach oznaczonej kwoty, kwota 1 651 370,55 zł stanowi wpływ zaliczki na płatność w I kwartale 2019 r.</t>
  </si>
  <si>
    <t>*w ramach oznaczonej kwoty, kwota 5 508 zł stanowi refundację wydatków z 2017 r., natomiast kwota 151 019 zł wpłynie jako refundacja w 2019 r.</t>
  </si>
  <si>
    <t>**w ramach oznaczonej kwoty, kwota 151 751,52 zł wpłynie jako refundacja w 2019 r., w tej kwocie mieści się również kwota 16 191 zł stanowiąca refundację z 2017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</si>
</sst>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z_ł_-;\-* #,##0.00\ _z_ł_-;_-* \-??\ _z_ł_-;_-@_-"/>
    <numFmt numFmtId="165" formatCode="#,##0;[Red]#,##0"/>
  </numFmts>
  <fonts count="4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Czcionka tekstu podstawowego"/>
      <charset val="238"/>
    </font>
    <font>
      <b/>
      <u/>
      <sz val="8"/>
      <color theme="1"/>
      <name val="Czcionka tekstu podstawowego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i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6"/>
      <name val="Arial CE"/>
      <charset val="238"/>
    </font>
    <font>
      <b/>
      <u/>
      <sz val="8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u/>
      <sz val="8"/>
      <name val="Arial CE"/>
      <charset val="238"/>
    </font>
    <font>
      <u/>
      <sz val="8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b/>
      <u/>
      <sz val="9"/>
      <name val="Arial CE"/>
      <charset val="238"/>
    </font>
    <font>
      <sz val="9"/>
      <name val="Arial CE"/>
      <charset val="238"/>
    </font>
    <font>
      <b/>
      <sz val="9"/>
      <color rgb="FFFF0000"/>
      <name val="Arial CE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sz val="9"/>
      <color rgb="FFFF0000"/>
      <name val="Arial CE"/>
      <charset val="238"/>
    </font>
    <font>
      <sz val="8"/>
      <name val="Czcionka tekstu podstawowego"/>
      <charset val="238"/>
    </font>
    <font>
      <sz val="11"/>
      <name val="Calibri"/>
      <family val="2"/>
      <charset val="238"/>
      <scheme val="minor"/>
    </font>
    <font>
      <b/>
      <sz val="8"/>
      <name val="Czcionka tekstu podstawowego"/>
      <charset val="238"/>
    </font>
    <font>
      <b/>
      <u/>
      <sz val="8"/>
      <name val="Czcionka tekstu podstawowego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color theme="1"/>
      <name val="Czcionka tekstu podstawowego"/>
      <charset val="238"/>
    </font>
    <font>
      <sz val="7"/>
      <name val="Czcionka tekstu podstawowego"/>
      <charset val="238"/>
    </font>
    <font>
      <sz val="7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4"/>
      </patternFill>
    </fill>
    <fill>
      <patternFill patternType="solid">
        <fgColor theme="3" tint="0.59999389629810485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indexed="9"/>
        <bgColor indexed="26"/>
      </patternFill>
    </fill>
    <fill>
      <patternFill patternType="solid">
        <fgColor theme="3" tint="0.39997558519241921"/>
        <bgColor indexed="3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59999389629810485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164" fontId="4" fillId="0" borderId="0" applyFill="0" applyBorder="0" applyAlignment="0" applyProtection="0"/>
  </cellStyleXfs>
  <cellXfs count="309">
    <xf numFmtId="0" fontId="0" fillId="0" borderId="0" xfId="0"/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11" xfId="0" applyFont="1" applyFill="1" applyBorder="1"/>
    <xf numFmtId="0" fontId="6" fillId="2" borderId="12" xfId="0" applyFont="1" applyFill="1" applyBorder="1"/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1" fillId="0" borderId="0" xfId="1" applyFont="1" applyAlignment="1">
      <alignment horizontal="center"/>
    </xf>
    <xf numFmtId="0" fontId="6" fillId="2" borderId="20" xfId="0" applyFont="1" applyFill="1" applyBorder="1"/>
    <xf numFmtId="0" fontId="6" fillId="2" borderId="21" xfId="0" applyFont="1" applyFill="1" applyBorder="1" applyAlignment="1">
      <alignment horizontal="center"/>
    </xf>
    <xf numFmtId="0" fontId="0" fillId="0" borderId="22" xfId="0" applyBorder="1"/>
    <xf numFmtId="0" fontId="12" fillId="0" borderId="2" xfId="0" applyFont="1" applyBorder="1"/>
    <xf numFmtId="3" fontId="12" fillId="0" borderId="1" xfId="0" applyNumberFormat="1" applyFont="1" applyBorder="1"/>
    <xf numFmtId="3" fontId="12" fillId="0" borderId="13" xfId="0" applyNumberFormat="1" applyFont="1" applyBorder="1"/>
    <xf numFmtId="0" fontId="7" fillId="0" borderId="2" xfId="0" applyFont="1" applyBorder="1"/>
    <xf numFmtId="3" fontId="7" fillId="0" borderId="1" xfId="0" applyNumberFormat="1" applyFont="1" applyBorder="1"/>
    <xf numFmtId="3" fontId="7" fillId="0" borderId="5" xfId="0" applyNumberFormat="1" applyFont="1" applyBorder="1"/>
    <xf numFmtId="3" fontId="7" fillId="0" borderId="19" xfId="0" applyNumberFormat="1" applyFont="1" applyBorder="1"/>
    <xf numFmtId="3" fontId="12" fillId="0" borderId="6" xfId="0" applyNumberFormat="1" applyFont="1" applyBorder="1"/>
    <xf numFmtId="0" fontId="7" fillId="0" borderId="28" xfId="0" applyFont="1" applyBorder="1"/>
    <xf numFmtId="3" fontId="7" fillId="0" borderId="29" xfId="0" applyNumberFormat="1" applyFont="1" applyBorder="1"/>
    <xf numFmtId="3" fontId="7" fillId="0" borderId="30" xfId="0" applyNumberFormat="1" applyFont="1" applyBorder="1"/>
    <xf numFmtId="3" fontId="7" fillId="0" borderId="31" xfId="0" applyNumberFormat="1" applyFont="1" applyBorder="1"/>
    <xf numFmtId="0" fontId="6" fillId="0" borderId="3" xfId="0" applyFont="1" applyBorder="1"/>
    <xf numFmtId="3" fontId="12" fillId="0" borderId="4" xfId="0" applyNumberFormat="1" applyFont="1" applyBorder="1"/>
    <xf numFmtId="3" fontId="12" fillId="0" borderId="10" xfId="0" applyNumberFormat="1" applyFont="1" applyBorder="1"/>
    <xf numFmtId="3" fontId="12" fillId="0" borderId="7" xfId="0" applyNumberFormat="1" applyFont="1" applyBorder="1"/>
    <xf numFmtId="3" fontId="12" fillId="0" borderId="19" xfId="0" applyNumberFormat="1" applyFont="1" applyBorder="1"/>
    <xf numFmtId="0" fontId="12" fillId="0" borderId="2" xfId="0" applyFont="1" applyBorder="1" applyAlignment="1"/>
    <xf numFmtId="0" fontId="0" fillId="3" borderId="0" xfId="0" applyFill="1"/>
    <xf numFmtId="0" fontId="13" fillId="3" borderId="0" xfId="0" applyFont="1" applyFill="1"/>
    <xf numFmtId="0" fontId="0" fillId="4" borderId="0" xfId="0" applyFont="1" applyFill="1"/>
    <xf numFmtId="0" fontId="0" fillId="4" borderId="0" xfId="0" applyFill="1"/>
    <xf numFmtId="0" fontId="17" fillId="3" borderId="35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5" borderId="19" xfId="0" quotePrefix="1" applyFont="1" applyFill="1" applyBorder="1" applyAlignment="1">
      <alignment horizontal="right"/>
    </xf>
    <xf numFmtId="0" fontId="19" fillId="5" borderId="19" xfId="0" applyFont="1" applyFill="1" applyBorder="1" applyAlignment="1">
      <alignment horizontal="left"/>
    </xf>
    <xf numFmtId="0" fontId="19" fillId="5" borderId="36" xfId="0" applyFont="1" applyFill="1" applyBorder="1" applyAlignment="1">
      <alignment horizontal="right"/>
    </xf>
    <xf numFmtId="3" fontId="19" fillId="6" borderId="19" xfId="0" applyNumberFormat="1" applyFont="1" applyFill="1" applyBorder="1" applyAlignment="1">
      <alignment horizontal="right"/>
    </xf>
    <xf numFmtId="0" fontId="17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left"/>
    </xf>
    <xf numFmtId="0" fontId="17" fillId="3" borderId="33" xfId="0" quotePrefix="1" applyFont="1" applyFill="1" applyBorder="1" applyAlignment="1">
      <alignment horizontal="right"/>
    </xf>
    <xf numFmtId="3" fontId="13" fillId="4" borderId="6" xfId="0" applyNumberFormat="1" applyFont="1" applyFill="1" applyBorder="1" applyAlignment="1">
      <alignment horizontal="right"/>
    </xf>
    <xf numFmtId="3" fontId="13" fillId="0" borderId="6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17" fillId="5" borderId="6" xfId="0" quotePrefix="1" applyFont="1" applyFill="1" applyBorder="1" applyAlignment="1">
      <alignment horizontal="right"/>
    </xf>
    <xf numFmtId="0" fontId="19" fillId="5" borderId="6" xfId="0" applyFont="1" applyFill="1" applyBorder="1"/>
    <xf numFmtId="0" fontId="17" fillId="5" borderId="33" xfId="0" applyFont="1" applyFill="1" applyBorder="1"/>
    <xf numFmtId="3" fontId="19" fillId="6" borderId="6" xfId="0" applyNumberFormat="1" applyFont="1" applyFill="1" applyBorder="1"/>
    <xf numFmtId="3" fontId="19" fillId="6" borderId="33" xfId="0" applyNumberFormat="1" applyFont="1" applyFill="1" applyBorder="1"/>
    <xf numFmtId="0" fontId="13" fillId="3" borderId="6" xfId="0" applyFont="1" applyFill="1" applyBorder="1"/>
    <xf numFmtId="3" fontId="13" fillId="7" borderId="6" xfId="0" applyNumberFormat="1" applyFont="1" applyFill="1" applyBorder="1"/>
    <xf numFmtId="3" fontId="13" fillId="0" borderId="6" xfId="0" applyNumberFormat="1" applyFont="1" applyBorder="1"/>
    <xf numFmtId="3" fontId="13" fillId="0" borderId="33" xfId="0" applyNumberFormat="1" applyFont="1" applyBorder="1"/>
    <xf numFmtId="0" fontId="17" fillId="5" borderId="33" xfId="0" applyFont="1" applyFill="1" applyBorder="1" applyAlignment="1">
      <alignment horizontal="right"/>
    </xf>
    <xf numFmtId="3" fontId="19" fillId="8" borderId="6" xfId="0" applyNumberFormat="1" applyFont="1" applyFill="1" applyBorder="1"/>
    <xf numFmtId="3" fontId="19" fillId="8" borderId="33" xfId="0" applyNumberFormat="1" applyFont="1" applyFill="1" applyBorder="1"/>
    <xf numFmtId="0" fontId="17" fillId="5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0" fontId="17" fillId="3" borderId="33" xfId="0" applyFont="1" applyFill="1" applyBorder="1"/>
    <xf numFmtId="3" fontId="13" fillId="4" borderId="6" xfId="0" applyNumberFormat="1" applyFont="1" applyFill="1" applyBorder="1"/>
    <xf numFmtId="3" fontId="13" fillId="0" borderId="6" xfId="0" applyNumberFormat="1" applyFont="1" applyFill="1" applyBorder="1"/>
    <xf numFmtId="3" fontId="13" fillId="0" borderId="33" xfId="0" applyNumberFormat="1" applyFont="1" applyFill="1" applyBorder="1"/>
    <xf numFmtId="3" fontId="21" fillId="7" borderId="6" xfId="0" applyNumberFormat="1" applyFont="1" applyFill="1" applyBorder="1"/>
    <xf numFmtId="3" fontId="21" fillId="0" borderId="6" xfId="0" applyNumberFormat="1" applyFont="1" applyBorder="1"/>
    <xf numFmtId="3" fontId="21" fillId="0" borderId="33" xfId="0" applyNumberFormat="1" applyFont="1" applyBorder="1"/>
    <xf numFmtId="3" fontId="21" fillId="4" borderId="6" xfId="0" applyNumberFormat="1" applyFont="1" applyFill="1" applyBorder="1"/>
    <xf numFmtId="0" fontId="22" fillId="5" borderId="6" xfId="0" applyFont="1" applyFill="1" applyBorder="1"/>
    <xf numFmtId="0" fontId="22" fillId="5" borderId="33" xfId="0" applyFont="1" applyFill="1" applyBorder="1"/>
    <xf numFmtId="3" fontId="22" fillId="8" borderId="6" xfId="0" applyNumberFormat="1" applyFont="1" applyFill="1" applyBorder="1"/>
    <xf numFmtId="3" fontId="13" fillId="10" borderId="6" xfId="0" applyNumberFormat="1" applyFont="1" applyFill="1" applyBorder="1"/>
    <xf numFmtId="3" fontId="13" fillId="10" borderId="33" xfId="0" applyNumberFormat="1" applyFont="1" applyFill="1" applyBorder="1"/>
    <xf numFmtId="3" fontId="21" fillId="0" borderId="6" xfId="0" applyNumberFormat="1" applyFont="1" applyFill="1" applyBorder="1"/>
    <xf numFmtId="3" fontId="21" fillId="0" borderId="33" xfId="0" applyNumberFormat="1" applyFont="1" applyFill="1" applyBorder="1"/>
    <xf numFmtId="3" fontId="21" fillId="0" borderId="33" xfId="0" applyNumberFormat="1" applyFont="1" applyBorder="1" applyAlignment="1"/>
    <xf numFmtId="3" fontId="21" fillId="0" borderId="6" xfId="0" applyNumberFormat="1" applyFont="1" applyBorder="1" applyAlignment="1"/>
    <xf numFmtId="3" fontId="19" fillId="6" borderId="6" xfId="0" applyNumberFormat="1" applyFont="1" applyFill="1" applyBorder="1" applyAlignment="1">
      <alignment horizontal="right"/>
    </xf>
    <xf numFmtId="3" fontId="19" fillId="6" borderId="33" xfId="0" applyNumberFormat="1" applyFont="1" applyFill="1" applyBorder="1" applyAlignment="1">
      <alignment horizontal="right"/>
    </xf>
    <xf numFmtId="165" fontId="13" fillId="7" borderId="6" xfId="0" applyNumberFormat="1" applyFont="1" applyFill="1" applyBorder="1"/>
    <xf numFmtId="0" fontId="17" fillId="11" borderId="6" xfId="0" applyFont="1" applyFill="1" applyBorder="1" applyAlignment="1">
      <alignment horizontal="right"/>
    </xf>
    <xf numFmtId="0" fontId="19" fillId="11" borderId="6" xfId="0" applyFont="1" applyFill="1" applyBorder="1" applyAlignment="1">
      <alignment horizontal="center"/>
    </xf>
    <xf numFmtId="0" fontId="17" fillId="11" borderId="33" xfId="0" applyFont="1" applyFill="1" applyBorder="1"/>
    <xf numFmtId="3" fontId="19" fillId="12" borderId="6" xfId="0" applyNumberFormat="1" applyFont="1" applyFill="1" applyBorder="1"/>
    <xf numFmtId="0" fontId="17" fillId="3" borderId="6" xfId="0" applyFont="1" applyFill="1" applyBorder="1"/>
    <xf numFmtId="3" fontId="17" fillId="4" borderId="6" xfId="0" applyNumberFormat="1" applyFont="1" applyFill="1" applyBorder="1"/>
    <xf numFmtId="3" fontId="17" fillId="0" borderId="6" xfId="0" applyNumberFormat="1" applyFont="1" applyFill="1" applyBorder="1"/>
    <xf numFmtId="3" fontId="17" fillId="0" borderId="33" xfId="0" applyNumberFormat="1" applyFont="1" applyFill="1" applyBorder="1"/>
    <xf numFmtId="0" fontId="17" fillId="3" borderId="33" xfId="0" applyFont="1" applyFill="1" applyBorder="1" applyAlignment="1">
      <alignment horizontal="right"/>
    </xf>
    <xf numFmtId="0" fontId="13" fillId="11" borderId="7" xfId="0" applyFont="1" applyFill="1" applyBorder="1" applyAlignment="1">
      <alignment horizontal="right"/>
    </xf>
    <xf numFmtId="0" fontId="19" fillId="11" borderId="7" xfId="0" applyFont="1" applyFill="1" applyBorder="1" applyAlignment="1">
      <alignment horizontal="center"/>
    </xf>
    <xf numFmtId="0" fontId="17" fillId="11" borderId="34" xfId="0" applyFont="1" applyFill="1" applyBorder="1"/>
    <xf numFmtId="3" fontId="19" fillId="12" borderId="7" xfId="0" applyNumberFormat="1" applyFont="1" applyFill="1" applyBorder="1"/>
    <xf numFmtId="3" fontId="19" fillId="12" borderId="34" xfId="0" applyNumberFormat="1" applyFont="1" applyFill="1" applyBorder="1"/>
    <xf numFmtId="3" fontId="0" fillId="0" borderId="0" xfId="0" applyNumberFormat="1"/>
    <xf numFmtId="0" fontId="20" fillId="3" borderId="19" xfId="0" quotePrefix="1" applyFont="1" applyFill="1" applyBorder="1" applyAlignment="1">
      <alignment horizontal="right"/>
    </xf>
    <xf numFmtId="0" fontId="20" fillId="3" borderId="19" xfId="0" applyFont="1" applyFill="1" applyBorder="1" applyAlignment="1">
      <alignment horizontal="left"/>
    </xf>
    <xf numFmtId="0" fontId="16" fillId="3" borderId="36" xfId="0" quotePrefix="1" applyFont="1" applyFill="1" applyBorder="1" applyAlignment="1">
      <alignment horizontal="right"/>
    </xf>
    <xf numFmtId="3" fontId="20" fillId="9" borderId="19" xfId="0" applyNumberFormat="1" applyFont="1" applyFill="1" applyBorder="1" applyAlignment="1">
      <alignment horizontal="right"/>
    </xf>
    <xf numFmtId="3" fontId="20" fillId="9" borderId="36" xfId="0" applyNumberFormat="1" applyFont="1" applyFill="1" applyBorder="1" applyAlignment="1">
      <alignment horizontal="right"/>
    </xf>
    <xf numFmtId="0" fontId="13" fillId="3" borderId="6" xfId="0" applyFont="1" applyFill="1" applyBorder="1" applyAlignment="1">
      <alignment horizontal="left" indent="1"/>
    </xf>
    <xf numFmtId="3" fontId="23" fillId="4" borderId="6" xfId="0" applyNumberFormat="1" applyFont="1" applyFill="1" applyBorder="1"/>
    <xf numFmtId="0" fontId="23" fillId="3" borderId="6" xfId="0" applyFont="1" applyFill="1" applyBorder="1"/>
    <xf numFmtId="0" fontId="22" fillId="5" borderId="6" xfId="0" applyFont="1" applyFill="1" applyBorder="1" applyAlignment="1">
      <alignment horizontal="right"/>
    </xf>
    <xf numFmtId="3" fontId="22" fillId="13" borderId="6" xfId="0" applyNumberFormat="1" applyFont="1" applyFill="1" applyBorder="1"/>
    <xf numFmtId="3" fontId="22" fillId="8" borderId="33" xfId="0" applyNumberFormat="1" applyFont="1" applyFill="1" applyBorder="1"/>
    <xf numFmtId="3" fontId="23" fillId="7" borderId="6" xfId="0" applyNumberFormat="1" applyFont="1" applyFill="1" applyBorder="1"/>
    <xf numFmtId="0" fontId="24" fillId="0" borderId="0" xfId="0" applyFont="1" applyAlignment="1"/>
    <xf numFmtId="0" fontId="25" fillId="0" borderId="0" xfId="0" applyFont="1" applyAlignment="1"/>
    <xf numFmtId="0" fontId="25" fillId="4" borderId="0" xfId="0" applyFont="1" applyFill="1" applyAlignment="1"/>
    <xf numFmtId="0" fontId="25" fillId="4" borderId="0" xfId="0" applyFont="1" applyFill="1" applyAlignment="1">
      <alignment horizontal="left"/>
    </xf>
    <xf numFmtId="0" fontId="16" fillId="0" borderId="3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3" fontId="22" fillId="6" borderId="13" xfId="0" applyNumberFormat="1" applyFont="1" applyFill="1" applyBorder="1" applyAlignment="1">
      <alignment horizontal="right"/>
    </xf>
    <xf numFmtId="3" fontId="20" fillId="0" borderId="6" xfId="0" applyNumberFormat="1" applyFont="1" applyFill="1" applyBorder="1"/>
    <xf numFmtId="3" fontId="20" fillId="0" borderId="33" xfId="0" applyNumberFormat="1" applyFont="1" applyFill="1" applyBorder="1"/>
    <xf numFmtId="3" fontId="22" fillId="6" borderId="6" xfId="0" applyNumberFormat="1" applyFont="1" applyFill="1" applyBorder="1"/>
    <xf numFmtId="3" fontId="22" fillId="6" borderId="33" xfId="0" applyNumberFormat="1" applyFont="1" applyFill="1" applyBorder="1"/>
    <xf numFmtId="3" fontId="22" fillId="12" borderId="13" xfId="0" applyNumberFormat="1" applyFont="1" applyFill="1" applyBorder="1"/>
    <xf numFmtId="3" fontId="16" fillId="0" borderId="6" xfId="0" applyNumberFormat="1" applyFont="1" applyFill="1" applyBorder="1"/>
    <xf numFmtId="4" fontId="16" fillId="0" borderId="6" xfId="0" applyNumberFormat="1" applyFont="1" applyFill="1" applyBorder="1"/>
    <xf numFmtId="4" fontId="16" fillId="0" borderId="33" xfId="0" applyNumberFormat="1" applyFont="1" applyFill="1" applyBorder="1"/>
    <xf numFmtId="3" fontId="20" fillId="0" borderId="31" xfId="0" applyNumberFormat="1" applyFont="1" applyFill="1" applyBorder="1"/>
    <xf numFmtId="4" fontId="20" fillId="0" borderId="31" xfId="0" applyNumberFormat="1" applyFont="1" applyFill="1" applyBorder="1"/>
    <xf numFmtId="4" fontId="20" fillId="0" borderId="24" xfId="0" applyNumberFormat="1" applyFont="1" applyFill="1" applyBorder="1"/>
    <xf numFmtId="4" fontId="20" fillId="0" borderId="33" xfId="0" applyNumberFormat="1" applyFont="1" applyFill="1" applyBorder="1"/>
    <xf numFmtId="3" fontId="22" fillId="12" borderId="7" xfId="0" applyNumberFormat="1" applyFont="1" applyFill="1" applyBorder="1"/>
    <xf numFmtId="3" fontId="22" fillId="12" borderId="34" xfId="0" applyNumberFormat="1" applyFont="1" applyFill="1" applyBorder="1"/>
    <xf numFmtId="0" fontId="27" fillId="3" borderId="0" xfId="0" applyFont="1" applyFill="1"/>
    <xf numFmtId="0" fontId="28" fillId="14" borderId="14" xfId="0" applyFont="1" applyFill="1" applyBorder="1" applyAlignment="1">
      <alignment horizontal="center"/>
    </xf>
    <xf numFmtId="0" fontId="28" fillId="14" borderId="35" xfId="0" applyFont="1" applyFill="1" applyBorder="1" applyAlignment="1">
      <alignment horizontal="center"/>
    </xf>
    <xf numFmtId="0" fontId="28" fillId="14" borderId="15" xfId="0" applyFont="1" applyFill="1" applyBorder="1" applyAlignment="1">
      <alignment horizontal="center"/>
    </xf>
    <xf numFmtId="0" fontId="28" fillId="5" borderId="39" xfId="0" quotePrefix="1" applyFont="1" applyFill="1" applyBorder="1" applyAlignment="1">
      <alignment horizontal="right"/>
    </xf>
    <xf numFmtId="0" fontId="29" fillId="5" borderId="13" xfId="0" applyFont="1" applyFill="1" applyBorder="1" applyAlignment="1">
      <alignment horizontal="left"/>
    </xf>
    <xf numFmtId="0" fontId="28" fillId="5" borderId="32" xfId="0" applyFont="1" applyFill="1" applyBorder="1" applyAlignment="1">
      <alignment horizontal="right"/>
    </xf>
    <xf numFmtId="0" fontId="28" fillId="5" borderId="40" xfId="0" quotePrefix="1" applyFont="1" applyFill="1" applyBorder="1" applyAlignment="1">
      <alignment horizontal="right"/>
    </xf>
    <xf numFmtId="0" fontId="29" fillId="5" borderId="6" xfId="0" applyFont="1" applyFill="1" applyBorder="1"/>
    <xf numFmtId="0" fontId="28" fillId="5" borderId="33" xfId="0" applyFont="1" applyFill="1" applyBorder="1"/>
    <xf numFmtId="0" fontId="30" fillId="14" borderId="6" xfId="0" applyFont="1" applyFill="1" applyBorder="1"/>
    <xf numFmtId="0" fontId="28" fillId="5" borderId="40" xfId="0" applyFont="1" applyFill="1" applyBorder="1"/>
    <xf numFmtId="0" fontId="30" fillId="14" borderId="40" xfId="0" applyFont="1" applyFill="1" applyBorder="1"/>
    <xf numFmtId="0" fontId="28" fillId="14" borderId="33" xfId="0" applyFont="1" applyFill="1" applyBorder="1"/>
    <xf numFmtId="0" fontId="29" fillId="5" borderId="33" xfId="0" applyFont="1" applyFill="1" applyBorder="1"/>
    <xf numFmtId="0" fontId="34" fillId="14" borderId="40" xfId="0" applyFont="1" applyFill="1" applyBorder="1"/>
    <xf numFmtId="0" fontId="30" fillId="14" borderId="23" xfId="0" applyFont="1" applyFill="1" applyBorder="1"/>
    <xf numFmtId="0" fontId="30" fillId="14" borderId="31" xfId="0" applyFont="1" applyFill="1" applyBorder="1"/>
    <xf numFmtId="0" fontId="31" fillId="11" borderId="39" xfId="0" applyFont="1" applyFill="1" applyBorder="1"/>
    <xf numFmtId="0" fontId="29" fillId="11" borderId="13" xfId="0" applyFont="1" applyFill="1" applyBorder="1" applyAlignment="1">
      <alignment horizontal="center"/>
    </xf>
    <xf numFmtId="0" fontId="29" fillId="11" borderId="32" xfId="0" applyFont="1" applyFill="1" applyBorder="1"/>
    <xf numFmtId="0" fontId="28" fillId="14" borderId="6" xfId="0" applyFont="1" applyFill="1" applyBorder="1"/>
    <xf numFmtId="0" fontId="28" fillId="14" borderId="24" xfId="0" applyFont="1" applyFill="1" applyBorder="1" applyAlignment="1">
      <alignment horizontal="right"/>
    </xf>
    <xf numFmtId="0" fontId="34" fillId="11" borderId="42" xfId="0" applyFont="1" applyFill="1" applyBorder="1"/>
    <xf numFmtId="0" fontId="29" fillId="11" borderId="7" xfId="0" applyFont="1" applyFill="1" applyBorder="1" applyAlignment="1">
      <alignment horizontal="center"/>
    </xf>
    <xf numFmtId="0" fontId="29" fillId="11" borderId="34" xfId="0" applyFont="1" applyFill="1" applyBorder="1"/>
    <xf numFmtId="0" fontId="27" fillId="0" borderId="0" xfId="0" applyFont="1"/>
    <xf numFmtId="0" fontId="30" fillId="14" borderId="6" xfId="0" applyFont="1" applyFill="1" applyBorder="1" applyAlignment="1">
      <alignment horizontal="left" indent="1"/>
    </xf>
    <xf numFmtId="0" fontId="35" fillId="0" borderId="2" xfId="0" applyFont="1" applyBorder="1"/>
    <xf numFmtId="3" fontId="35" fillId="0" borderId="1" xfId="0" applyNumberFormat="1" applyFont="1" applyBorder="1"/>
    <xf numFmtId="3" fontId="35" fillId="0" borderId="5" xfId="0" applyNumberFormat="1" applyFont="1" applyBorder="1"/>
    <xf numFmtId="3" fontId="35" fillId="0" borderId="19" xfId="0" applyNumberFormat="1" applyFont="1" applyBorder="1"/>
    <xf numFmtId="3" fontId="36" fillId="0" borderId="0" xfId="0" applyNumberFormat="1" applyFont="1"/>
    <xf numFmtId="0" fontId="13" fillId="4" borderId="6" xfId="0" applyFont="1" applyFill="1" applyBorder="1"/>
    <xf numFmtId="3" fontId="0" fillId="15" borderId="0" xfId="0" applyNumberFormat="1" applyFill="1"/>
    <xf numFmtId="0" fontId="0" fillId="15" borderId="0" xfId="0" applyFill="1"/>
    <xf numFmtId="3" fontId="36" fillId="15" borderId="0" xfId="0" applyNumberFormat="1" applyFont="1" applyFill="1"/>
    <xf numFmtId="0" fontId="36" fillId="15" borderId="0" xfId="0" applyFont="1" applyFill="1"/>
    <xf numFmtId="3" fontId="13" fillId="4" borderId="33" xfId="0" applyNumberFormat="1" applyFont="1" applyFill="1" applyBorder="1"/>
    <xf numFmtId="3" fontId="0" fillId="4" borderId="0" xfId="0" applyNumberFormat="1" applyFill="1"/>
    <xf numFmtId="0" fontId="28" fillId="3" borderId="41" xfId="0" quotePrefix="1" applyFont="1" applyFill="1" applyBorder="1" applyAlignment="1">
      <alignment horizontal="right"/>
    </xf>
    <xf numFmtId="0" fontId="30" fillId="3" borderId="19" xfId="0" applyFont="1" applyFill="1" applyBorder="1" applyAlignment="1">
      <alignment horizontal="left"/>
    </xf>
    <xf numFmtId="0" fontId="28" fillId="3" borderId="36" xfId="0" quotePrefix="1" applyFont="1" applyFill="1" applyBorder="1" applyAlignment="1">
      <alignment horizontal="right"/>
    </xf>
    <xf numFmtId="0" fontId="28" fillId="3" borderId="40" xfId="0" applyFont="1" applyFill="1" applyBorder="1" applyAlignment="1">
      <alignment horizontal="right"/>
    </xf>
    <xf numFmtId="0" fontId="30" fillId="3" borderId="6" xfId="0" applyFont="1" applyFill="1" applyBorder="1" applyAlignment="1">
      <alignment horizontal="left"/>
    </xf>
    <xf numFmtId="0" fontId="28" fillId="3" borderId="33" xfId="0" quotePrefix="1" applyFont="1" applyFill="1" applyBorder="1" applyAlignment="1">
      <alignment horizontal="right"/>
    </xf>
    <xf numFmtId="3" fontId="20" fillId="4" borderId="6" xfId="0" applyNumberFormat="1" applyFont="1" applyFill="1" applyBorder="1"/>
    <xf numFmtId="3" fontId="20" fillId="4" borderId="6" xfId="0" applyNumberFormat="1" applyFont="1" applyFill="1" applyBorder="1" applyAlignment="1">
      <alignment horizontal="right"/>
    </xf>
    <xf numFmtId="3" fontId="20" fillId="4" borderId="33" xfId="0" applyNumberFormat="1" applyFont="1" applyFill="1" applyBorder="1" applyAlignment="1">
      <alignment horizontal="right"/>
    </xf>
    <xf numFmtId="0" fontId="28" fillId="4" borderId="40" xfId="0" applyFont="1" applyFill="1" applyBorder="1" applyAlignment="1">
      <alignment horizontal="right"/>
    </xf>
    <xf numFmtId="0" fontId="30" fillId="4" borderId="6" xfId="0" applyFont="1" applyFill="1" applyBorder="1"/>
    <xf numFmtId="0" fontId="28" fillId="4" borderId="33" xfId="0" quotePrefix="1" applyFont="1" applyFill="1" applyBorder="1" applyAlignment="1">
      <alignment horizontal="right"/>
    </xf>
    <xf numFmtId="0" fontId="28" fillId="3" borderId="40" xfId="0" applyFont="1" applyFill="1" applyBorder="1"/>
    <xf numFmtId="0" fontId="30" fillId="3" borderId="6" xfId="0" applyFont="1" applyFill="1" applyBorder="1"/>
    <xf numFmtId="3" fontId="20" fillId="4" borderId="33" xfId="0" applyNumberFormat="1" applyFont="1" applyFill="1" applyBorder="1"/>
    <xf numFmtId="0" fontId="30" fillId="3" borderId="40" xfId="0" applyFont="1" applyFill="1" applyBorder="1"/>
    <xf numFmtId="0" fontId="30" fillId="3" borderId="6" xfId="0" applyFont="1" applyFill="1" applyBorder="1" applyAlignment="1">
      <alignment horizontal="left" indent="1"/>
    </xf>
    <xf numFmtId="0" fontId="28" fillId="3" borderId="33" xfId="0" applyFont="1" applyFill="1" applyBorder="1"/>
    <xf numFmtId="3" fontId="21" fillId="4" borderId="33" xfId="0" applyNumberFormat="1" applyFont="1" applyFill="1" applyBorder="1"/>
    <xf numFmtId="0" fontId="31" fillId="3" borderId="40" xfId="0" applyFont="1" applyFill="1" applyBorder="1"/>
    <xf numFmtId="0" fontId="32" fillId="3" borderId="6" xfId="0" applyFont="1" applyFill="1" applyBorder="1"/>
    <xf numFmtId="0" fontId="33" fillId="3" borderId="33" xfId="0" applyFont="1" applyFill="1" applyBorder="1"/>
    <xf numFmtId="3" fontId="26" fillId="4" borderId="6" xfId="0" applyNumberFormat="1" applyFont="1" applyFill="1" applyBorder="1"/>
    <xf numFmtId="3" fontId="26" fillId="4" borderId="33" xfId="0" applyNumberFormat="1" applyFont="1" applyFill="1" applyBorder="1"/>
    <xf numFmtId="3" fontId="13" fillId="7" borderId="33" xfId="0" applyNumberFormat="1" applyFont="1" applyFill="1" applyBorder="1"/>
    <xf numFmtId="3" fontId="21" fillId="4" borderId="6" xfId="0" applyNumberFormat="1" applyFont="1" applyFill="1" applyBorder="1" applyAlignment="1"/>
    <xf numFmtId="3" fontId="21" fillId="4" borderId="33" xfId="0" applyNumberFormat="1" applyFont="1" applyFill="1" applyBorder="1" applyAlignment="1"/>
    <xf numFmtId="0" fontId="34" fillId="3" borderId="40" xfId="0" applyFont="1" applyFill="1" applyBorder="1"/>
    <xf numFmtId="0" fontId="30" fillId="3" borderId="41" xfId="0" applyFont="1" applyFill="1" applyBorder="1"/>
    <xf numFmtId="0" fontId="30" fillId="3" borderId="19" xfId="0" applyFont="1" applyFill="1" applyBorder="1" applyAlignment="1">
      <alignment horizontal="left" indent="1"/>
    </xf>
    <xf numFmtId="0" fontId="28" fillId="3" borderId="36" xfId="0" applyFont="1" applyFill="1" applyBorder="1"/>
    <xf numFmtId="3" fontId="20" fillId="7" borderId="19" xfId="0" applyNumberFormat="1" applyFont="1" applyFill="1" applyBorder="1"/>
    <xf numFmtId="3" fontId="20" fillId="4" borderId="19" xfId="0" applyNumberFormat="1" applyFont="1" applyFill="1" applyBorder="1"/>
    <xf numFmtId="3" fontId="20" fillId="4" borderId="36" xfId="0" applyNumberFormat="1" applyFont="1" applyFill="1" applyBorder="1"/>
    <xf numFmtId="3" fontId="20" fillId="7" borderId="6" xfId="0" applyNumberFormat="1" applyFont="1" applyFill="1" applyBorder="1"/>
    <xf numFmtId="3" fontId="20" fillId="7" borderId="33" xfId="0" applyNumberFormat="1" applyFont="1" applyFill="1" applyBorder="1"/>
    <xf numFmtId="0" fontId="30" fillId="4" borderId="33" xfId="0" applyFont="1" applyFill="1" applyBorder="1"/>
    <xf numFmtId="0" fontId="30" fillId="3" borderId="6" xfId="0" quotePrefix="1" applyFont="1" applyFill="1" applyBorder="1" applyAlignment="1">
      <alignment horizontal="left" indent="1"/>
    </xf>
    <xf numFmtId="0" fontId="30" fillId="3" borderId="23" xfId="0" applyFont="1" applyFill="1" applyBorder="1"/>
    <xf numFmtId="0" fontId="30" fillId="3" borderId="31" xfId="0" applyFont="1" applyFill="1" applyBorder="1"/>
    <xf numFmtId="0" fontId="28" fillId="3" borderId="24" xfId="0" applyFont="1" applyFill="1" applyBorder="1"/>
    <xf numFmtId="3" fontId="21" fillId="4" borderId="31" xfId="0" applyNumberFormat="1" applyFont="1" applyFill="1" applyBorder="1"/>
    <xf numFmtId="3" fontId="21" fillId="4" borderId="24" xfId="0" applyNumberFormat="1" applyFont="1" applyFill="1" applyBorder="1"/>
    <xf numFmtId="0" fontId="36" fillId="0" borderId="0" xfId="0" applyFont="1"/>
    <xf numFmtId="0" fontId="35" fillId="0" borderId="28" xfId="0" applyFont="1" applyBorder="1"/>
    <xf numFmtId="3" fontId="35" fillId="0" borderId="29" xfId="0" applyNumberFormat="1" applyFont="1" applyBorder="1"/>
    <xf numFmtId="3" fontId="35" fillId="0" borderId="30" xfId="0" applyNumberFormat="1" applyFont="1" applyBorder="1"/>
    <xf numFmtId="3" fontId="35" fillId="0" borderId="31" xfId="0" applyNumberFormat="1" applyFont="1" applyBorder="1"/>
    <xf numFmtId="0" fontId="37" fillId="2" borderId="11" xfId="0" applyFont="1" applyFill="1" applyBorder="1"/>
    <xf numFmtId="0" fontId="37" fillId="2" borderId="12" xfId="0" applyFont="1" applyFill="1" applyBorder="1"/>
    <xf numFmtId="3" fontId="38" fillId="0" borderId="13" xfId="0" applyNumberFormat="1" applyFont="1" applyBorder="1"/>
    <xf numFmtId="0" fontId="38" fillId="0" borderId="2" xfId="0" applyFont="1" applyBorder="1"/>
    <xf numFmtId="3" fontId="38" fillId="0" borderId="1" xfId="0" applyNumberFormat="1" applyFont="1" applyBorder="1"/>
    <xf numFmtId="3" fontId="38" fillId="0" borderId="6" xfId="0" applyNumberFormat="1" applyFont="1" applyBorder="1"/>
    <xf numFmtId="3" fontId="38" fillId="0" borderId="4" xfId="0" applyNumberFormat="1" applyFont="1" applyBorder="1"/>
    <xf numFmtId="3" fontId="38" fillId="0" borderId="7" xfId="0" applyNumberFormat="1" applyFont="1" applyBorder="1"/>
    <xf numFmtId="0" fontId="37" fillId="2" borderId="20" xfId="0" applyFont="1" applyFill="1" applyBorder="1"/>
    <xf numFmtId="0" fontId="37" fillId="2" borderId="21" xfId="0" applyFont="1" applyFill="1" applyBorder="1" applyAlignment="1">
      <alignment horizontal="center"/>
    </xf>
    <xf numFmtId="0" fontId="36" fillId="0" borderId="22" xfId="0" applyFont="1" applyBorder="1"/>
    <xf numFmtId="3" fontId="38" fillId="0" borderId="19" xfId="0" applyNumberFormat="1" applyFont="1" applyBorder="1"/>
    <xf numFmtId="0" fontId="37" fillId="0" borderId="3" xfId="0" applyFont="1" applyBorder="1"/>
    <xf numFmtId="0" fontId="40" fillId="0" borderId="0" xfId="0" applyNumberFormat="1" applyFont="1" applyFill="1" applyBorder="1" applyAlignment="1" applyProtection="1">
      <protection locked="0"/>
    </xf>
    <xf numFmtId="0" fontId="40" fillId="0" borderId="0" xfId="0" applyNumberFormat="1" applyFont="1" applyFill="1" applyBorder="1" applyAlignment="1" applyProtection="1">
      <alignment horizontal="left"/>
      <protection locked="0"/>
    </xf>
    <xf numFmtId="0" fontId="13" fillId="3" borderId="7" xfId="0" applyFont="1" applyFill="1" applyBorder="1"/>
    <xf numFmtId="3" fontId="13" fillId="0" borderId="7" xfId="0" applyNumberFormat="1" applyFont="1" applyFill="1" applyBorder="1"/>
    <xf numFmtId="3" fontId="13" fillId="0" borderId="34" xfId="0" applyNumberFormat="1" applyFont="1" applyFill="1" applyBorder="1"/>
    <xf numFmtId="0" fontId="0" fillId="0" borderId="16" xfId="0" applyBorder="1"/>
    <xf numFmtId="3" fontId="20" fillId="0" borderId="21" xfId="0" applyNumberFormat="1" applyFont="1" applyFill="1" applyBorder="1"/>
    <xf numFmtId="4" fontId="20" fillId="0" borderId="21" xfId="0" applyNumberFormat="1" applyFont="1" applyFill="1" applyBorder="1"/>
    <xf numFmtId="4" fontId="20" fillId="0" borderId="8" xfId="0" applyNumberFormat="1" applyFont="1" applyFill="1" applyBorder="1"/>
    <xf numFmtId="0" fontId="30" fillId="14" borderId="21" xfId="0" applyFont="1" applyFill="1" applyBorder="1"/>
    <xf numFmtId="0" fontId="42" fillId="0" borderId="0" xfId="0" applyFont="1" applyBorder="1"/>
    <xf numFmtId="3" fontId="12" fillId="0" borderId="0" xfId="0" applyNumberFormat="1" applyFont="1" applyBorder="1"/>
    <xf numFmtId="0" fontId="43" fillId="0" borderId="0" xfId="0" applyFont="1" applyBorder="1"/>
    <xf numFmtId="3" fontId="38" fillId="0" borderId="0" xfId="0" applyNumberFormat="1" applyFont="1" applyBorder="1"/>
    <xf numFmtId="3" fontId="0" fillId="0" borderId="0" xfId="0" applyNumberFormat="1" applyBorder="1"/>
    <xf numFmtId="0" fontId="44" fillId="0" borderId="0" xfId="0" applyFont="1"/>
    <xf numFmtId="0" fontId="14" fillId="3" borderId="0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14" borderId="0" xfId="0" applyFont="1" applyFill="1" applyBorder="1" applyAlignment="1">
      <alignment horizontal="center"/>
    </xf>
    <xf numFmtId="0" fontId="15" fillId="14" borderId="15" xfId="0" applyFont="1" applyFill="1" applyBorder="1" applyAlignment="1">
      <alignment horizontal="center"/>
    </xf>
    <xf numFmtId="0" fontId="28" fillId="14" borderId="37" xfId="0" applyFont="1" applyFill="1" applyBorder="1" applyAlignment="1">
      <alignment horizontal="center" vertical="center"/>
    </xf>
    <xf numFmtId="0" fontId="28" fillId="14" borderId="38" xfId="0" applyFont="1" applyFill="1" applyBorder="1" applyAlignment="1">
      <alignment horizontal="center" vertical="center"/>
    </xf>
    <xf numFmtId="0" fontId="28" fillId="14" borderId="35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0" borderId="17" xfId="0" applyFont="1" applyFill="1" applyBorder="1" applyAlignment="1"/>
    <xf numFmtId="0" fontId="6" fillId="0" borderId="18" xfId="0" applyFont="1" applyFill="1" applyBorder="1" applyAlignment="1"/>
    <xf numFmtId="0" fontId="7" fillId="0" borderId="18" xfId="0" applyFont="1" applyFill="1" applyBorder="1" applyAlignment="1"/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7" fillId="0" borderId="17" xfId="0" applyFont="1" applyFill="1" applyBorder="1" applyAlignment="1"/>
    <xf numFmtId="0" fontId="37" fillId="0" borderId="18" xfId="0" applyFont="1" applyFill="1" applyBorder="1" applyAlignment="1"/>
    <xf numFmtId="0" fontId="35" fillId="0" borderId="18" xfId="0" applyFont="1" applyFill="1" applyBorder="1" applyAlignment="1"/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 applyProtection="1">
      <alignment horizontal="center"/>
      <protection locked="0"/>
    </xf>
  </cellXfs>
  <cellStyles count="5">
    <cellStyle name="Dziesiętny 2" xfId="4"/>
    <cellStyle name="Excel Built-in Normal" xfId="2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2"/>
  <sheetViews>
    <sheetView topLeftCell="A108" workbookViewId="0">
      <selection sqref="A1:P109"/>
    </sheetView>
  </sheetViews>
  <sheetFormatPr defaultRowHeight="15"/>
  <cols>
    <col min="1" max="1" width="6.140625" customWidth="1"/>
    <col min="2" max="2" width="26" customWidth="1"/>
    <col min="3" max="3" width="7.140625" customWidth="1"/>
    <col min="17" max="17" width="10.28515625" hidden="1" customWidth="1"/>
  </cols>
  <sheetData>
    <row r="1" spans="1:17">
      <c r="A1" s="33"/>
      <c r="B1" s="34"/>
      <c r="C1" s="33"/>
      <c r="D1" s="35"/>
      <c r="E1" s="4"/>
      <c r="F1" s="4"/>
      <c r="G1" s="4"/>
      <c r="H1" s="4"/>
      <c r="I1" s="4"/>
      <c r="J1" s="4"/>
      <c r="K1" s="4"/>
      <c r="L1" s="6" t="s">
        <v>204</v>
      </c>
      <c r="M1" s="6"/>
      <c r="N1" s="6"/>
      <c r="O1" s="6"/>
      <c r="P1" s="6"/>
    </row>
    <row r="2" spans="1:17">
      <c r="A2" s="33"/>
      <c r="B2" s="34"/>
      <c r="C2" s="33"/>
      <c r="D2" s="35"/>
      <c r="E2" s="4"/>
      <c r="F2" s="4"/>
      <c r="G2" s="4"/>
      <c r="H2" s="4"/>
      <c r="I2" s="4"/>
      <c r="J2" s="4"/>
      <c r="K2" s="4"/>
      <c r="L2" s="5" t="s">
        <v>0</v>
      </c>
      <c r="M2" s="5"/>
      <c r="N2" s="5"/>
      <c r="O2" s="5"/>
      <c r="P2" s="5"/>
    </row>
    <row r="3" spans="1:17">
      <c r="A3" s="33"/>
      <c r="B3" s="34"/>
      <c r="C3" s="33"/>
      <c r="D3" s="35"/>
      <c r="E3" s="4"/>
      <c r="F3" s="4"/>
      <c r="G3" s="4"/>
      <c r="H3" s="4"/>
      <c r="I3" s="4"/>
      <c r="J3" s="4"/>
      <c r="K3" s="4"/>
      <c r="L3" s="5" t="s">
        <v>1</v>
      </c>
      <c r="M3" s="5"/>
      <c r="N3" s="5"/>
      <c r="O3" s="5"/>
      <c r="P3" s="5"/>
    </row>
    <row r="4" spans="1:17">
      <c r="A4" s="33"/>
      <c r="B4" s="34"/>
      <c r="C4" s="33"/>
      <c r="D4" s="35"/>
      <c r="E4" s="4"/>
      <c r="F4" s="4"/>
      <c r="G4" s="4"/>
      <c r="H4" s="4"/>
      <c r="I4" s="4"/>
      <c r="J4" s="4"/>
      <c r="K4" s="4"/>
      <c r="L4" s="5" t="s">
        <v>242</v>
      </c>
      <c r="M4" s="5"/>
      <c r="N4" s="5"/>
      <c r="O4" s="5"/>
      <c r="P4" s="5"/>
    </row>
    <row r="5" spans="1:17">
      <c r="A5" s="33"/>
      <c r="B5" s="34"/>
      <c r="C5" s="33"/>
      <c r="D5" s="35"/>
      <c r="E5" s="4"/>
      <c r="F5" s="4"/>
      <c r="G5" s="4"/>
      <c r="H5" s="4"/>
      <c r="I5" s="4"/>
      <c r="J5" s="4"/>
      <c r="K5" s="4"/>
      <c r="L5" s="4"/>
      <c r="M5" s="4"/>
      <c r="N5" s="36"/>
      <c r="O5" s="4"/>
      <c r="P5" s="4"/>
    </row>
    <row r="6" spans="1:17">
      <c r="A6" s="252" t="s">
        <v>155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</row>
    <row r="7" spans="1:17" ht="15.75" thickBot="1">
      <c r="A7" s="253" t="s">
        <v>59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</row>
    <row r="8" spans="1:17">
      <c r="A8" s="254" t="s">
        <v>60</v>
      </c>
      <c r="B8" s="257" t="s">
        <v>61</v>
      </c>
      <c r="C8" s="260" t="s">
        <v>62</v>
      </c>
      <c r="D8" s="263" t="s">
        <v>156</v>
      </c>
      <c r="E8" s="266" t="s">
        <v>63</v>
      </c>
      <c r="F8" s="269" t="s">
        <v>64</v>
      </c>
      <c r="G8" s="266" t="s">
        <v>65</v>
      </c>
      <c r="H8" s="269" t="s">
        <v>66</v>
      </c>
      <c r="I8" s="266" t="s">
        <v>67</v>
      </c>
      <c r="J8" s="269" t="s">
        <v>68</v>
      </c>
      <c r="K8" s="266" t="s">
        <v>69</v>
      </c>
      <c r="L8" s="269" t="s">
        <v>70</v>
      </c>
      <c r="M8" s="266" t="s">
        <v>71</v>
      </c>
      <c r="N8" s="269" t="s">
        <v>72</v>
      </c>
      <c r="O8" s="266" t="s">
        <v>73</v>
      </c>
      <c r="P8" s="266" t="s">
        <v>74</v>
      </c>
    </row>
    <row r="9" spans="1:17">
      <c r="A9" s="255"/>
      <c r="B9" s="258"/>
      <c r="C9" s="261"/>
      <c r="D9" s="264"/>
      <c r="E9" s="267"/>
      <c r="F9" s="270"/>
      <c r="G9" s="267"/>
      <c r="H9" s="270"/>
      <c r="I9" s="267"/>
      <c r="J9" s="270"/>
      <c r="K9" s="267"/>
      <c r="L9" s="270"/>
      <c r="M9" s="267"/>
      <c r="N9" s="270"/>
      <c r="O9" s="267"/>
      <c r="P9" s="267"/>
    </row>
    <row r="10" spans="1:17" ht="15.75" thickBot="1">
      <c r="A10" s="256"/>
      <c r="B10" s="259"/>
      <c r="C10" s="262"/>
      <c r="D10" s="265"/>
      <c r="E10" s="268"/>
      <c r="F10" s="271"/>
      <c r="G10" s="268"/>
      <c r="H10" s="271"/>
      <c r="I10" s="268"/>
      <c r="J10" s="271"/>
      <c r="K10" s="268"/>
      <c r="L10" s="271"/>
      <c r="M10" s="268"/>
      <c r="N10" s="271"/>
      <c r="O10" s="268"/>
      <c r="P10" s="268"/>
    </row>
    <row r="11" spans="1:17" ht="15.75" thickBot="1">
      <c r="A11" s="37">
        <v>1</v>
      </c>
      <c r="B11" s="37">
        <v>2</v>
      </c>
      <c r="C11" s="38">
        <v>3</v>
      </c>
      <c r="D11" s="39">
        <v>4</v>
      </c>
      <c r="E11" s="40">
        <v>5</v>
      </c>
      <c r="F11" s="41">
        <v>6</v>
      </c>
      <c r="G11" s="40">
        <v>7</v>
      </c>
      <c r="H11" s="41">
        <v>8</v>
      </c>
      <c r="I11" s="40">
        <v>9</v>
      </c>
      <c r="J11" s="41">
        <v>10</v>
      </c>
      <c r="K11" s="40">
        <v>11</v>
      </c>
      <c r="L11" s="41">
        <v>12</v>
      </c>
      <c r="M11" s="40">
        <v>13</v>
      </c>
      <c r="N11" s="41">
        <v>14</v>
      </c>
      <c r="O11" s="40">
        <v>15</v>
      </c>
      <c r="P11" s="40">
        <v>16</v>
      </c>
    </row>
    <row r="12" spans="1:17">
      <c r="A12" s="42" t="s">
        <v>75</v>
      </c>
      <c r="B12" s="43" t="s">
        <v>76</v>
      </c>
      <c r="C12" s="44"/>
      <c r="D12" s="45">
        <f>SUM(D13:D14)</f>
        <v>81000</v>
      </c>
      <c r="E12" s="45">
        <f t="shared" ref="E12:P12" si="0">SUM(E13:E14)</f>
        <v>0</v>
      </c>
      <c r="F12" s="45">
        <f t="shared" si="0"/>
        <v>2500</v>
      </c>
      <c r="G12" s="45">
        <f t="shared" si="0"/>
        <v>0</v>
      </c>
      <c r="H12" s="45">
        <f t="shared" si="0"/>
        <v>0</v>
      </c>
      <c r="I12" s="45">
        <f t="shared" si="0"/>
        <v>2500</v>
      </c>
      <c r="J12" s="45">
        <f t="shared" si="0"/>
        <v>6000</v>
      </c>
      <c r="K12" s="45">
        <f t="shared" si="0"/>
        <v>0</v>
      </c>
      <c r="L12" s="45">
        <f t="shared" si="0"/>
        <v>2500</v>
      </c>
      <c r="M12" s="45">
        <f t="shared" si="0"/>
        <v>0</v>
      </c>
      <c r="N12" s="45">
        <f t="shared" si="0"/>
        <v>0</v>
      </c>
      <c r="O12" s="45">
        <f t="shared" si="0"/>
        <v>67500</v>
      </c>
      <c r="P12" s="45">
        <f t="shared" si="0"/>
        <v>0</v>
      </c>
      <c r="Q12" s="100">
        <f>SUM(E12:P12)</f>
        <v>81000</v>
      </c>
    </row>
    <row r="13" spans="1:17" s="4" customFormat="1">
      <c r="A13" s="101"/>
      <c r="B13" s="102" t="s">
        <v>157</v>
      </c>
      <c r="C13" s="103" t="s">
        <v>158</v>
      </c>
      <c r="D13" s="104">
        <v>65000</v>
      </c>
      <c r="E13" s="104"/>
      <c r="F13" s="105"/>
      <c r="G13" s="104"/>
      <c r="H13" s="105"/>
      <c r="I13" s="104"/>
      <c r="J13" s="105"/>
      <c r="K13" s="104"/>
      <c r="L13" s="105"/>
      <c r="M13" s="104"/>
      <c r="N13" s="105"/>
      <c r="O13" s="104">
        <v>65000</v>
      </c>
      <c r="P13" s="104"/>
      <c r="Q13" s="100">
        <f>SUM(E13:P13)</f>
        <v>65000</v>
      </c>
    </row>
    <row r="14" spans="1:17">
      <c r="A14" s="46"/>
      <c r="B14" s="47" t="s">
        <v>77</v>
      </c>
      <c r="C14" s="48" t="s">
        <v>78</v>
      </c>
      <c r="D14" s="49">
        <v>16000</v>
      </c>
      <c r="E14" s="50"/>
      <c r="F14" s="51">
        <v>2500</v>
      </c>
      <c r="G14" s="50"/>
      <c r="H14" s="51"/>
      <c r="I14" s="50">
        <v>2500</v>
      </c>
      <c r="J14" s="51">
        <v>6000</v>
      </c>
      <c r="K14" s="50"/>
      <c r="L14" s="51">
        <v>2500</v>
      </c>
      <c r="M14" s="50"/>
      <c r="N14" s="51"/>
      <c r="O14" s="50">
        <v>2500</v>
      </c>
      <c r="P14" s="50"/>
      <c r="Q14" s="100">
        <f t="shared" ref="Q14:Q76" si="1">SUM(E14:P14)</f>
        <v>16000</v>
      </c>
    </row>
    <row r="15" spans="1:17">
      <c r="A15" s="52" t="s">
        <v>79</v>
      </c>
      <c r="B15" s="53" t="s">
        <v>80</v>
      </c>
      <c r="C15" s="54"/>
      <c r="D15" s="55">
        <f>SUM(D16)</f>
        <v>248000</v>
      </c>
      <c r="E15" s="55">
        <f t="shared" ref="E15:P15" si="2">SUM(E16)</f>
        <v>20000</v>
      </c>
      <c r="F15" s="56">
        <f t="shared" si="2"/>
        <v>20000</v>
      </c>
      <c r="G15" s="55">
        <f t="shared" si="2"/>
        <v>20000</v>
      </c>
      <c r="H15" s="56">
        <f t="shared" si="2"/>
        <v>28000</v>
      </c>
      <c r="I15" s="55">
        <f t="shared" si="2"/>
        <v>20000</v>
      </c>
      <c r="J15" s="56">
        <f t="shared" si="2"/>
        <v>20000</v>
      </c>
      <c r="K15" s="55">
        <f t="shared" si="2"/>
        <v>20000</v>
      </c>
      <c r="L15" s="56">
        <f t="shared" si="2"/>
        <v>20000</v>
      </c>
      <c r="M15" s="55">
        <f t="shared" si="2"/>
        <v>20000</v>
      </c>
      <c r="N15" s="56">
        <f t="shared" si="2"/>
        <v>20000</v>
      </c>
      <c r="O15" s="55">
        <f t="shared" si="2"/>
        <v>20000</v>
      </c>
      <c r="P15" s="55">
        <f t="shared" si="2"/>
        <v>20000</v>
      </c>
      <c r="Q15" s="100">
        <f t="shared" si="1"/>
        <v>248000</v>
      </c>
    </row>
    <row r="16" spans="1:17">
      <c r="A16" s="46"/>
      <c r="B16" s="57" t="s">
        <v>77</v>
      </c>
      <c r="C16" s="48" t="s">
        <v>81</v>
      </c>
      <c r="D16" s="58">
        <v>248000</v>
      </c>
      <c r="E16" s="59">
        <v>20000</v>
      </c>
      <c r="F16" s="60">
        <v>20000</v>
      </c>
      <c r="G16" s="59">
        <v>20000</v>
      </c>
      <c r="H16" s="60">
        <v>28000</v>
      </c>
      <c r="I16" s="59">
        <v>20000</v>
      </c>
      <c r="J16" s="60">
        <v>20000</v>
      </c>
      <c r="K16" s="59">
        <v>20000</v>
      </c>
      <c r="L16" s="60">
        <v>20000</v>
      </c>
      <c r="M16" s="59">
        <v>20000</v>
      </c>
      <c r="N16" s="60">
        <v>20000</v>
      </c>
      <c r="O16" s="59">
        <v>20000</v>
      </c>
      <c r="P16" s="59">
        <v>20000</v>
      </c>
      <c r="Q16" s="100">
        <f t="shared" si="1"/>
        <v>248000</v>
      </c>
    </row>
    <row r="17" spans="1:17">
      <c r="A17" s="52" t="s">
        <v>82</v>
      </c>
      <c r="B17" s="53" t="s">
        <v>83</v>
      </c>
      <c r="C17" s="61"/>
      <c r="D17" s="62">
        <f>SUM(D18)</f>
        <v>900</v>
      </c>
      <c r="E17" s="62">
        <f t="shared" ref="E17:P17" si="3">SUM(E18)</f>
        <v>60</v>
      </c>
      <c r="F17" s="63">
        <f t="shared" si="3"/>
        <v>70</v>
      </c>
      <c r="G17" s="62">
        <f t="shared" si="3"/>
        <v>80</v>
      </c>
      <c r="H17" s="63">
        <f t="shared" si="3"/>
        <v>120</v>
      </c>
      <c r="I17" s="62">
        <f t="shared" si="3"/>
        <v>150</v>
      </c>
      <c r="J17" s="63">
        <f t="shared" si="3"/>
        <v>120</v>
      </c>
      <c r="K17" s="62">
        <f t="shared" si="3"/>
        <v>110</v>
      </c>
      <c r="L17" s="63">
        <f t="shared" si="3"/>
        <v>90</v>
      </c>
      <c r="M17" s="62">
        <f t="shared" si="3"/>
        <v>50</v>
      </c>
      <c r="N17" s="63">
        <f t="shared" si="3"/>
        <v>10</v>
      </c>
      <c r="O17" s="62">
        <f t="shared" si="3"/>
        <v>30</v>
      </c>
      <c r="P17" s="62">
        <f t="shared" si="3"/>
        <v>10</v>
      </c>
      <c r="Q17" s="100">
        <f t="shared" si="1"/>
        <v>900</v>
      </c>
    </row>
    <row r="18" spans="1:17">
      <c r="A18" s="46"/>
      <c r="B18" s="57" t="s">
        <v>77</v>
      </c>
      <c r="C18" s="48" t="s">
        <v>84</v>
      </c>
      <c r="D18" s="58">
        <v>900</v>
      </c>
      <c r="E18" s="59">
        <v>60</v>
      </c>
      <c r="F18" s="60">
        <v>70</v>
      </c>
      <c r="G18" s="59">
        <v>80</v>
      </c>
      <c r="H18" s="60">
        <v>120</v>
      </c>
      <c r="I18" s="59">
        <v>150</v>
      </c>
      <c r="J18" s="60">
        <v>120</v>
      </c>
      <c r="K18" s="59">
        <v>110</v>
      </c>
      <c r="L18" s="60">
        <v>90</v>
      </c>
      <c r="M18" s="59">
        <v>50</v>
      </c>
      <c r="N18" s="60">
        <v>10</v>
      </c>
      <c r="O18" s="59">
        <v>30</v>
      </c>
      <c r="P18" s="59">
        <v>10</v>
      </c>
      <c r="Q18" s="100">
        <f t="shared" si="1"/>
        <v>900</v>
      </c>
    </row>
    <row r="19" spans="1:17">
      <c r="A19" s="64">
        <v>600</v>
      </c>
      <c r="B19" s="53" t="s">
        <v>85</v>
      </c>
      <c r="C19" s="54"/>
      <c r="D19" s="55">
        <f>SUM(D20+D22)</f>
        <v>2021246</v>
      </c>
      <c r="E19" s="55">
        <f>SUM(E20+E22)</f>
        <v>168437</v>
      </c>
      <c r="F19" s="55">
        <f t="shared" ref="F19:P19" si="4">SUM(F20+F22)</f>
        <v>168437</v>
      </c>
      <c r="G19" s="55">
        <f t="shared" si="4"/>
        <v>168437</v>
      </c>
      <c r="H19" s="55">
        <f t="shared" si="4"/>
        <v>168437</v>
      </c>
      <c r="I19" s="55">
        <f t="shared" si="4"/>
        <v>168437</v>
      </c>
      <c r="J19" s="55">
        <f t="shared" si="4"/>
        <v>168437</v>
      </c>
      <c r="K19" s="55">
        <f t="shared" si="4"/>
        <v>168437</v>
      </c>
      <c r="L19" s="55">
        <f t="shared" si="4"/>
        <v>168437</v>
      </c>
      <c r="M19" s="55">
        <f t="shared" si="4"/>
        <v>168437</v>
      </c>
      <c r="N19" s="55">
        <f t="shared" si="4"/>
        <v>168437</v>
      </c>
      <c r="O19" s="55">
        <f t="shared" si="4"/>
        <v>168437</v>
      </c>
      <c r="P19" s="55">
        <f t="shared" si="4"/>
        <v>168439</v>
      </c>
      <c r="Q19" s="100">
        <f>SUM(E19:P19)</f>
        <v>2021246</v>
      </c>
    </row>
    <row r="20" spans="1:17">
      <c r="A20" s="65"/>
      <c r="B20" s="108" t="s">
        <v>86</v>
      </c>
      <c r="C20" s="66">
        <v>60014</v>
      </c>
      <c r="D20" s="107">
        <f t="shared" ref="D20:P20" si="5">SUM(D21:D21)</f>
        <v>143568</v>
      </c>
      <c r="E20" s="107">
        <f t="shared" si="5"/>
        <v>11964</v>
      </c>
      <c r="F20" s="107">
        <f t="shared" si="5"/>
        <v>11964</v>
      </c>
      <c r="G20" s="107">
        <f t="shared" si="5"/>
        <v>11964</v>
      </c>
      <c r="H20" s="107">
        <f t="shared" si="5"/>
        <v>11964</v>
      </c>
      <c r="I20" s="107">
        <f t="shared" si="5"/>
        <v>11964</v>
      </c>
      <c r="J20" s="107">
        <f t="shared" si="5"/>
        <v>11964</v>
      </c>
      <c r="K20" s="107">
        <f t="shared" si="5"/>
        <v>11964</v>
      </c>
      <c r="L20" s="107">
        <f t="shared" si="5"/>
        <v>11964</v>
      </c>
      <c r="M20" s="107">
        <f t="shared" si="5"/>
        <v>11964</v>
      </c>
      <c r="N20" s="107">
        <f t="shared" si="5"/>
        <v>11964</v>
      </c>
      <c r="O20" s="107">
        <f t="shared" si="5"/>
        <v>11964</v>
      </c>
      <c r="P20" s="107">
        <f t="shared" si="5"/>
        <v>11964</v>
      </c>
      <c r="Q20" s="100">
        <f t="shared" si="1"/>
        <v>143568</v>
      </c>
    </row>
    <row r="21" spans="1:17" s="4" customFormat="1">
      <c r="A21" s="65"/>
      <c r="B21" s="106" t="s">
        <v>159</v>
      </c>
      <c r="C21" s="66"/>
      <c r="D21" s="67">
        <v>143568</v>
      </c>
      <c r="E21" s="59">
        <v>11964</v>
      </c>
      <c r="F21" s="60">
        <v>11964</v>
      </c>
      <c r="G21" s="59">
        <v>11964</v>
      </c>
      <c r="H21" s="60">
        <v>11964</v>
      </c>
      <c r="I21" s="59">
        <v>11964</v>
      </c>
      <c r="J21" s="60">
        <v>11964</v>
      </c>
      <c r="K21" s="59">
        <v>11964</v>
      </c>
      <c r="L21" s="60">
        <v>11964</v>
      </c>
      <c r="M21" s="59">
        <v>11964</v>
      </c>
      <c r="N21" s="60">
        <v>11964</v>
      </c>
      <c r="O21" s="59">
        <v>11964</v>
      </c>
      <c r="P21" s="59">
        <v>11964</v>
      </c>
      <c r="Q21" s="100">
        <f t="shared" si="1"/>
        <v>143568</v>
      </c>
    </row>
    <row r="22" spans="1:17">
      <c r="A22" s="65"/>
      <c r="B22" s="57" t="s">
        <v>77</v>
      </c>
      <c r="C22" s="66">
        <v>60095</v>
      </c>
      <c r="D22" s="67">
        <v>1877678</v>
      </c>
      <c r="E22" s="59">
        <v>156473</v>
      </c>
      <c r="F22" s="60">
        <v>156473</v>
      </c>
      <c r="G22" s="59">
        <v>156473</v>
      </c>
      <c r="H22" s="60">
        <v>156473</v>
      </c>
      <c r="I22" s="59">
        <v>156473</v>
      </c>
      <c r="J22" s="60">
        <v>156473</v>
      </c>
      <c r="K22" s="59">
        <v>156473</v>
      </c>
      <c r="L22" s="60">
        <v>156473</v>
      </c>
      <c r="M22" s="59">
        <v>156473</v>
      </c>
      <c r="N22" s="60">
        <v>156473</v>
      </c>
      <c r="O22" s="59">
        <v>156473</v>
      </c>
      <c r="P22" s="59">
        <v>156475</v>
      </c>
      <c r="Q22" s="100">
        <f t="shared" si="1"/>
        <v>1877678</v>
      </c>
    </row>
    <row r="23" spans="1:17">
      <c r="A23" s="64">
        <v>700</v>
      </c>
      <c r="B23" s="53" t="s">
        <v>87</v>
      </c>
      <c r="C23" s="54"/>
      <c r="D23" s="55">
        <f>SUM(D24)</f>
        <v>565937</v>
      </c>
      <c r="E23" s="55">
        <f t="shared" ref="E23:P23" si="6">SUM(E24)</f>
        <v>49637</v>
      </c>
      <c r="F23" s="55">
        <f t="shared" si="6"/>
        <v>53636</v>
      </c>
      <c r="G23" s="55">
        <f t="shared" si="6"/>
        <v>49904</v>
      </c>
      <c r="H23" s="55">
        <f t="shared" si="6"/>
        <v>45136</v>
      </c>
      <c r="I23" s="55">
        <f t="shared" si="6"/>
        <v>44636</v>
      </c>
      <c r="J23" s="55">
        <f t="shared" si="6"/>
        <v>50134</v>
      </c>
      <c r="K23" s="55">
        <f t="shared" si="6"/>
        <v>45134</v>
      </c>
      <c r="L23" s="55">
        <f t="shared" si="6"/>
        <v>45184</v>
      </c>
      <c r="M23" s="55">
        <f t="shared" si="6"/>
        <v>46134</v>
      </c>
      <c r="N23" s="55">
        <f t="shared" si="6"/>
        <v>46134</v>
      </c>
      <c r="O23" s="55">
        <f t="shared" si="6"/>
        <v>45634</v>
      </c>
      <c r="P23" s="55">
        <f t="shared" si="6"/>
        <v>44634</v>
      </c>
      <c r="Q23" s="100">
        <f t="shared" si="1"/>
        <v>565937</v>
      </c>
    </row>
    <row r="24" spans="1:17">
      <c r="A24" s="46"/>
      <c r="B24" s="57" t="s">
        <v>88</v>
      </c>
      <c r="C24" s="66">
        <v>70005</v>
      </c>
      <c r="D24" s="67">
        <f>SUM(D25:D26)</f>
        <v>565937</v>
      </c>
      <c r="E24" s="68">
        <f t="shared" ref="E24:P24" si="7">SUM(E25:E26)</f>
        <v>49637</v>
      </c>
      <c r="F24" s="68">
        <f t="shared" si="7"/>
        <v>53636</v>
      </c>
      <c r="G24" s="68">
        <f t="shared" si="7"/>
        <v>49904</v>
      </c>
      <c r="H24" s="68">
        <f t="shared" si="7"/>
        <v>45136</v>
      </c>
      <c r="I24" s="68">
        <f t="shared" si="7"/>
        <v>44636</v>
      </c>
      <c r="J24" s="68">
        <f t="shared" si="7"/>
        <v>50134</v>
      </c>
      <c r="K24" s="68">
        <f t="shared" si="7"/>
        <v>45134</v>
      </c>
      <c r="L24" s="68">
        <f t="shared" si="7"/>
        <v>45184</v>
      </c>
      <c r="M24" s="68">
        <f t="shared" si="7"/>
        <v>46134</v>
      </c>
      <c r="N24" s="68">
        <f t="shared" si="7"/>
        <v>46134</v>
      </c>
      <c r="O24" s="68">
        <f t="shared" si="7"/>
        <v>45634</v>
      </c>
      <c r="P24" s="68">
        <f t="shared" si="7"/>
        <v>44634</v>
      </c>
      <c r="Q24" s="100">
        <f t="shared" si="1"/>
        <v>565937</v>
      </c>
    </row>
    <row r="25" spans="1:17">
      <c r="A25" s="46"/>
      <c r="B25" s="57" t="s">
        <v>89</v>
      </c>
      <c r="C25" s="66"/>
      <c r="D25" s="67">
        <v>465900</v>
      </c>
      <c r="E25" s="68">
        <v>38825</v>
      </c>
      <c r="F25" s="69">
        <v>38825</v>
      </c>
      <c r="G25" s="68">
        <v>38825</v>
      </c>
      <c r="H25" s="69">
        <v>38825</v>
      </c>
      <c r="I25" s="68">
        <v>38825</v>
      </c>
      <c r="J25" s="69">
        <v>38825</v>
      </c>
      <c r="K25" s="68">
        <v>38825</v>
      </c>
      <c r="L25" s="69">
        <v>38825</v>
      </c>
      <c r="M25" s="68">
        <v>38825</v>
      </c>
      <c r="N25" s="69">
        <v>38825</v>
      </c>
      <c r="O25" s="68">
        <v>38825</v>
      </c>
      <c r="P25" s="68">
        <v>38825</v>
      </c>
      <c r="Q25" s="100">
        <f t="shared" si="1"/>
        <v>465900</v>
      </c>
    </row>
    <row r="26" spans="1:17">
      <c r="A26" s="46"/>
      <c r="B26" s="57" t="s">
        <v>90</v>
      </c>
      <c r="C26" s="66"/>
      <c r="D26" s="67">
        <v>100037</v>
      </c>
      <c r="E26" s="59">
        <v>10812</v>
      </c>
      <c r="F26" s="60">
        <v>14811</v>
      </c>
      <c r="G26" s="59">
        <v>11079</v>
      </c>
      <c r="H26" s="60">
        <v>6311</v>
      </c>
      <c r="I26" s="59">
        <v>5811</v>
      </c>
      <c r="J26" s="60">
        <v>11309</v>
      </c>
      <c r="K26" s="59">
        <v>6309</v>
      </c>
      <c r="L26" s="60">
        <v>6359</v>
      </c>
      <c r="M26" s="59">
        <v>7309</v>
      </c>
      <c r="N26" s="60">
        <v>7309</v>
      </c>
      <c r="O26" s="59">
        <v>6809</v>
      </c>
      <c r="P26" s="59">
        <v>5809</v>
      </c>
      <c r="Q26" s="100">
        <f t="shared" si="1"/>
        <v>100037</v>
      </c>
    </row>
    <row r="27" spans="1:17">
      <c r="A27" s="64">
        <v>710</v>
      </c>
      <c r="B27" s="53" t="s">
        <v>91</v>
      </c>
      <c r="C27" s="54"/>
      <c r="D27" s="55">
        <f>SUM(D28+D31+D32)</f>
        <v>825623</v>
      </c>
      <c r="E27" s="55">
        <f t="shared" ref="E27:P27" si="8">SUM(E28+E31+E32)</f>
        <v>65442</v>
      </c>
      <c r="F27" s="55">
        <f t="shared" si="8"/>
        <v>90052</v>
      </c>
      <c r="G27" s="55">
        <f t="shared" si="8"/>
        <v>65442</v>
      </c>
      <c r="H27" s="55">
        <f t="shared" si="8"/>
        <v>65442</v>
      </c>
      <c r="I27" s="55">
        <f t="shared" si="8"/>
        <v>65442</v>
      </c>
      <c r="J27" s="55">
        <f t="shared" si="8"/>
        <v>65494</v>
      </c>
      <c r="K27" s="55">
        <f t="shared" si="8"/>
        <v>65442</v>
      </c>
      <c r="L27" s="55">
        <f t="shared" si="8"/>
        <v>81093</v>
      </c>
      <c r="M27" s="55">
        <f t="shared" si="8"/>
        <v>65442</v>
      </c>
      <c r="N27" s="55">
        <f t="shared" si="8"/>
        <v>65442</v>
      </c>
      <c r="O27" s="55">
        <f t="shared" si="8"/>
        <v>65442</v>
      </c>
      <c r="P27" s="55">
        <f t="shared" si="8"/>
        <v>65448</v>
      </c>
      <c r="Q27" s="100">
        <f t="shared" si="1"/>
        <v>825623</v>
      </c>
    </row>
    <row r="28" spans="1:17">
      <c r="A28" s="46"/>
      <c r="B28" s="57" t="s">
        <v>92</v>
      </c>
      <c r="C28" s="66">
        <v>71015</v>
      </c>
      <c r="D28" s="67">
        <f>SUM(D29:D30)</f>
        <v>319972</v>
      </c>
      <c r="E28" s="67">
        <f t="shared" ref="E28:P28" si="9">SUM(E29:E30)</f>
        <v>24609</v>
      </c>
      <c r="F28" s="67">
        <f t="shared" si="9"/>
        <v>49219</v>
      </c>
      <c r="G28" s="67">
        <f t="shared" si="9"/>
        <v>24609</v>
      </c>
      <c r="H28" s="67">
        <f t="shared" si="9"/>
        <v>24609</v>
      </c>
      <c r="I28" s="67">
        <f t="shared" si="9"/>
        <v>24609</v>
      </c>
      <c r="J28" s="67">
        <f t="shared" si="9"/>
        <v>24661</v>
      </c>
      <c r="K28" s="67">
        <f t="shared" si="9"/>
        <v>24609</v>
      </c>
      <c r="L28" s="67">
        <f t="shared" si="9"/>
        <v>24609</v>
      </c>
      <c r="M28" s="67">
        <f t="shared" si="9"/>
        <v>24609</v>
      </c>
      <c r="N28" s="67">
        <f t="shared" si="9"/>
        <v>24609</v>
      </c>
      <c r="O28" s="67">
        <f t="shared" si="9"/>
        <v>24609</v>
      </c>
      <c r="P28" s="67">
        <f t="shared" si="9"/>
        <v>24611</v>
      </c>
      <c r="Q28" s="100">
        <f t="shared" si="1"/>
        <v>319972</v>
      </c>
    </row>
    <row r="29" spans="1:17">
      <c r="A29" s="46"/>
      <c r="B29" s="57" t="s">
        <v>89</v>
      </c>
      <c r="C29" s="66"/>
      <c r="D29" s="67">
        <v>52</v>
      </c>
      <c r="E29" s="59"/>
      <c r="F29" s="60"/>
      <c r="G29" s="59"/>
      <c r="H29" s="60"/>
      <c r="I29" s="59"/>
      <c r="J29" s="60">
        <v>52</v>
      </c>
      <c r="K29" s="59"/>
      <c r="L29" s="60"/>
      <c r="M29" s="59"/>
      <c r="N29" s="60"/>
      <c r="O29" s="59"/>
      <c r="P29" s="59"/>
      <c r="Q29" s="100">
        <f t="shared" si="1"/>
        <v>52</v>
      </c>
    </row>
    <row r="30" spans="1:17">
      <c r="A30" s="46"/>
      <c r="B30" s="57" t="s">
        <v>90</v>
      </c>
      <c r="C30" s="66"/>
      <c r="D30" s="67">
        <v>319920</v>
      </c>
      <c r="E30" s="59">
        <v>24609</v>
      </c>
      <c r="F30" s="60">
        <v>49219</v>
      </c>
      <c r="G30" s="59">
        <v>24609</v>
      </c>
      <c r="H30" s="60">
        <v>24609</v>
      </c>
      <c r="I30" s="59">
        <v>24609</v>
      </c>
      <c r="J30" s="60">
        <v>24609</v>
      </c>
      <c r="K30" s="59">
        <v>24609</v>
      </c>
      <c r="L30" s="60">
        <v>24609</v>
      </c>
      <c r="M30" s="59">
        <v>24609</v>
      </c>
      <c r="N30" s="60">
        <v>24609</v>
      </c>
      <c r="O30" s="59">
        <v>24609</v>
      </c>
      <c r="P30" s="59">
        <v>24611</v>
      </c>
      <c r="Q30" s="100">
        <f t="shared" si="1"/>
        <v>319920</v>
      </c>
    </row>
    <row r="31" spans="1:17">
      <c r="A31" s="46"/>
      <c r="B31" s="57" t="s">
        <v>93</v>
      </c>
      <c r="C31" s="66">
        <v>71020</v>
      </c>
      <c r="D31" s="70">
        <v>15651</v>
      </c>
      <c r="E31" s="71"/>
      <c r="F31" s="72"/>
      <c r="G31" s="71"/>
      <c r="H31" s="72"/>
      <c r="I31" s="71"/>
      <c r="J31" s="72"/>
      <c r="K31" s="71"/>
      <c r="L31" s="72">
        <v>15651</v>
      </c>
      <c r="M31" s="71"/>
      <c r="N31" s="72"/>
      <c r="O31" s="71"/>
      <c r="P31" s="71"/>
      <c r="Q31" s="100">
        <f t="shared" si="1"/>
        <v>15651</v>
      </c>
    </row>
    <row r="32" spans="1:17">
      <c r="A32" s="46"/>
      <c r="B32" s="57" t="s">
        <v>77</v>
      </c>
      <c r="C32" s="66">
        <v>71095</v>
      </c>
      <c r="D32" s="73">
        <v>490000</v>
      </c>
      <c r="E32" s="71">
        <v>40833</v>
      </c>
      <c r="F32" s="72">
        <v>40833</v>
      </c>
      <c r="G32" s="71">
        <v>40833</v>
      </c>
      <c r="H32" s="72">
        <v>40833</v>
      </c>
      <c r="I32" s="71">
        <v>40833</v>
      </c>
      <c r="J32" s="72">
        <v>40833</v>
      </c>
      <c r="K32" s="71">
        <v>40833</v>
      </c>
      <c r="L32" s="72">
        <v>40833</v>
      </c>
      <c r="M32" s="71">
        <v>40833</v>
      </c>
      <c r="N32" s="72">
        <v>40833</v>
      </c>
      <c r="O32" s="71">
        <v>40833</v>
      </c>
      <c r="P32" s="71">
        <v>40837</v>
      </c>
      <c r="Q32" s="100">
        <f t="shared" si="1"/>
        <v>490000</v>
      </c>
    </row>
    <row r="33" spans="1:17">
      <c r="A33" s="64">
        <v>750</v>
      </c>
      <c r="B33" s="53" t="s">
        <v>94</v>
      </c>
      <c r="C33" s="54"/>
      <c r="D33" s="55">
        <f>SUM(D34:D36)</f>
        <v>322221</v>
      </c>
      <c r="E33" s="55">
        <f t="shared" ref="E33:P33" si="10">SUM(E34:E36)</f>
        <v>24893</v>
      </c>
      <c r="F33" s="56">
        <f t="shared" si="10"/>
        <v>35393</v>
      </c>
      <c r="G33" s="55">
        <f t="shared" si="10"/>
        <v>37893</v>
      </c>
      <c r="H33" s="56">
        <f t="shared" si="10"/>
        <v>24893</v>
      </c>
      <c r="I33" s="55">
        <f t="shared" si="10"/>
        <v>24893</v>
      </c>
      <c r="J33" s="56">
        <f t="shared" si="10"/>
        <v>24893</v>
      </c>
      <c r="K33" s="55">
        <f t="shared" si="10"/>
        <v>24893</v>
      </c>
      <c r="L33" s="56">
        <f t="shared" si="10"/>
        <v>24893</v>
      </c>
      <c r="M33" s="55">
        <f t="shared" si="10"/>
        <v>24893</v>
      </c>
      <c r="N33" s="56">
        <f t="shared" si="10"/>
        <v>24893</v>
      </c>
      <c r="O33" s="55">
        <f t="shared" si="10"/>
        <v>24893</v>
      </c>
      <c r="P33" s="55">
        <f t="shared" si="10"/>
        <v>24898</v>
      </c>
      <c r="Q33" s="100">
        <f t="shared" si="1"/>
        <v>322221</v>
      </c>
    </row>
    <row r="34" spans="1:17">
      <c r="A34" s="46"/>
      <c r="B34" s="57" t="s">
        <v>95</v>
      </c>
      <c r="C34" s="66">
        <v>75011</v>
      </c>
      <c r="D34" s="67">
        <v>118792</v>
      </c>
      <c r="E34" s="68">
        <v>9899</v>
      </c>
      <c r="F34" s="69">
        <v>9899</v>
      </c>
      <c r="G34" s="68">
        <v>9899</v>
      </c>
      <c r="H34" s="69">
        <v>9899</v>
      </c>
      <c r="I34" s="68">
        <v>9899</v>
      </c>
      <c r="J34" s="69">
        <v>9899</v>
      </c>
      <c r="K34" s="68">
        <v>9899</v>
      </c>
      <c r="L34" s="69">
        <v>9899</v>
      </c>
      <c r="M34" s="68">
        <v>9899</v>
      </c>
      <c r="N34" s="69">
        <v>9899</v>
      </c>
      <c r="O34" s="68">
        <v>9899</v>
      </c>
      <c r="P34" s="68">
        <v>9903</v>
      </c>
      <c r="Q34" s="100">
        <f t="shared" si="1"/>
        <v>118792</v>
      </c>
    </row>
    <row r="35" spans="1:17">
      <c r="A35" s="46"/>
      <c r="B35" s="57" t="s">
        <v>96</v>
      </c>
      <c r="C35" s="66">
        <v>75020</v>
      </c>
      <c r="D35" s="67">
        <v>179929</v>
      </c>
      <c r="E35" s="68">
        <v>14994</v>
      </c>
      <c r="F35" s="69">
        <v>14994</v>
      </c>
      <c r="G35" s="68">
        <v>14994</v>
      </c>
      <c r="H35" s="69">
        <v>14994</v>
      </c>
      <c r="I35" s="68">
        <v>14994</v>
      </c>
      <c r="J35" s="69">
        <v>14994</v>
      </c>
      <c r="K35" s="68">
        <v>14994</v>
      </c>
      <c r="L35" s="69">
        <v>14994</v>
      </c>
      <c r="M35" s="68">
        <v>14994</v>
      </c>
      <c r="N35" s="69">
        <v>14994</v>
      </c>
      <c r="O35" s="68">
        <v>14994</v>
      </c>
      <c r="P35" s="68">
        <v>14995</v>
      </c>
      <c r="Q35" s="100">
        <f t="shared" si="1"/>
        <v>179929</v>
      </c>
    </row>
    <row r="36" spans="1:17">
      <c r="A36" s="46"/>
      <c r="B36" s="57" t="s">
        <v>97</v>
      </c>
      <c r="C36" s="66">
        <v>75045</v>
      </c>
      <c r="D36" s="67">
        <f>SUM(D37:D38)</f>
        <v>23500</v>
      </c>
      <c r="E36" s="67">
        <f t="shared" ref="E36:P36" si="11">SUM(E37:E38)</f>
        <v>0</v>
      </c>
      <c r="F36" s="67">
        <f t="shared" si="11"/>
        <v>10500</v>
      </c>
      <c r="G36" s="67">
        <f t="shared" si="11"/>
        <v>13000</v>
      </c>
      <c r="H36" s="67">
        <f t="shared" si="11"/>
        <v>0</v>
      </c>
      <c r="I36" s="67">
        <f t="shared" si="11"/>
        <v>0</v>
      </c>
      <c r="J36" s="67">
        <f t="shared" si="11"/>
        <v>0</v>
      </c>
      <c r="K36" s="67">
        <f t="shared" si="11"/>
        <v>0</v>
      </c>
      <c r="L36" s="67">
        <f t="shared" si="11"/>
        <v>0</v>
      </c>
      <c r="M36" s="67">
        <f t="shared" si="11"/>
        <v>0</v>
      </c>
      <c r="N36" s="67">
        <f t="shared" si="11"/>
        <v>0</v>
      </c>
      <c r="O36" s="67">
        <f t="shared" si="11"/>
        <v>0</v>
      </c>
      <c r="P36" s="67">
        <f t="shared" si="11"/>
        <v>0</v>
      </c>
      <c r="Q36" s="100">
        <f t="shared" si="1"/>
        <v>23500</v>
      </c>
    </row>
    <row r="37" spans="1:17">
      <c r="A37" s="46"/>
      <c r="B37" s="57" t="s">
        <v>90</v>
      </c>
      <c r="C37" s="66"/>
      <c r="D37" s="67">
        <v>10500</v>
      </c>
      <c r="E37" s="68"/>
      <c r="F37" s="60">
        <v>10500</v>
      </c>
      <c r="G37" s="68"/>
      <c r="H37" s="69"/>
      <c r="I37" s="68"/>
      <c r="J37" s="69"/>
      <c r="K37" s="68"/>
      <c r="L37" s="69"/>
      <c r="M37" s="68"/>
      <c r="N37" s="69"/>
      <c r="O37" s="68"/>
      <c r="P37" s="68"/>
      <c r="Q37" s="100">
        <f t="shared" si="1"/>
        <v>10500</v>
      </c>
    </row>
    <row r="38" spans="1:17">
      <c r="A38" s="46"/>
      <c r="B38" s="57" t="s">
        <v>98</v>
      </c>
      <c r="C38" s="66"/>
      <c r="D38" s="67">
        <v>13000</v>
      </c>
      <c r="E38" s="68"/>
      <c r="F38" s="60"/>
      <c r="G38" s="68">
        <v>13000</v>
      </c>
      <c r="H38" s="69"/>
      <c r="I38" s="68"/>
      <c r="J38" s="69"/>
      <c r="K38" s="68"/>
      <c r="L38" s="69"/>
      <c r="M38" s="68"/>
      <c r="N38" s="69"/>
      <c r="O38" s="68"/>
      <c r="P38" s="68"/>
      <c r="Q38" s="100">
        <f t="shared" si="1"/>
        <v>13000</v>
      </c>
    </row>
    <row r="39" spans="1:17">
      <c r="A39" s="64">
        <v>754</v>
      </c>
      <c r="B39" s="53" t="s">
        <v>99</v>
      </c>
      <c r="C39" s="54"/>
      <c r="D39" s="55">
        <f>SUM(D40:D41)</f>
        <v>5359606</v>
      </c>
      <c r="E39" s="55">
        <f t="shared" ref="E39:P39" si="12">SUM(E40:E41)</f>
        <v>411893</v>
      </c>
      <c r="F39" s="55">
        <f t="shared" si="12"/>
        <v>823786</v>
      </c>
      <c r="G39" s="55">
        <f t="shared" si="12"/>
        <v>416893</v>
      </c>
      <c r="H39" s="55">
        <f t="shared" si="12"/>
        <v>411893</v>
      </c>
      <c r="I39" s="55">
        <f t="shared" si="12"/>
        <v>411893</v>
      </c>
      <c r="J39" s="55">
        <f t="shared" si="12"/>
        <v>411893</v>
      </c>
      <c r="K39" s="55">
        <f t="shared" si="12"/>
        <v>411893</v>
      </c>
      <c r="L39" s="55">
        <f t="shared" si="12"/>
        <v>411893</v>
      </c>
      <c r="M39" s="55">
        <f t="shared" si="12"/>
        <v>411893</v>
      </c>
      <c r="N39" s="55">
        <f t="shared" si="12"/>
        <v>411893</v>
      </c>
      <c r="O39" s="55">
        <f t="shared" si="12"/>
        <v>411893</v>
      </c>
      <c r="P39" s="55">
        <f t="shared" si="12"/>
        <v>411890</v>
      </c>
      <c r="Q39" s="100">
        <f t="shared" si="1"/>
        <v>5359606</v>
      </c>
    </row>
    <row r="40" spans="1:17">
      <c r="A40" s="46"/>
      <c r="B40" s="57" t="s">
        <v>100</v>
      </c>
      <c r="C40" s="66">
        <v>75411</v>
      </c>
      <c r="D40" s="67">
        <v>5354606</v>
      </c>
      <c r="E40" s="68">
        <v>411893</v>
      </c>
      <c r="F40" s="69">
        <v>823786</v>
      </c>
      <c r="G40" s="68">
        <v>411893</v>
      </c>
      <c r="H40" s="69">
        <v>411893</v>
      </c>
      <c r="I40" s="68">
        <v>411893</v>
      </c>
      <c r="J40" s="69">
        <v>411893</v>
      </c>
      <c r="K40" s="68">
        <v>411893</v>
      </c>
      <c r="L40" s="69">
        <v>411893</v>
      </c>
      <c r="M40" s="68">
        <v>411893</v>
      </c>
      <c r="N40" s="69">
        <v>411893</v>
      </c>
      <c r="O40" s="68">
        <v>411893</v>
      </c>
      <c r="P40" s="68">
        <v>411890</v>
      </c>
      <c r="Q40" s="100">
        <f t="shared" si="1"/>
        <v>5354606</v>
      </c>
    </row>
    <row r="41" spans="1:17" s="4" customFormat="1">
      <c r="A41" s="46"/>
      <c r="B41" s="57" t="s">
        <v>77</v>
      </c>
      <c r="C41" s="66">
        <v>75495</v>
      </c>
      <c r="D41" s="67">
        <v>5000</v>
      </c>
      <c r="E41" s="68"/>
      <c r="F41" s="69"/>
      <c r="G41" s="68">
        <v>5000</v>
      </c>
      <c r="H41" s="69"/>
      <c r="I41" s="68"/>
      <c r="J41" s="69"/>
      <c r="K41" s="68"/>
      <c r="L41" s="69"/>
      <c r="M41" s="68"/>
      <c r="N41" s="69"/>
      <c r="O41" s="68"/>
      <c r="P41" s="68"/>
      <c r="Q41" s="100">
        <f t="shared" si="1"/>
        <v>5000</v>
      </c>
    </row>
    <row r="42" spans="1:17">
      <c r="A42" s="64">
        <v>755</v>
      </c>
      <c r="B42" s="74" t="s">
        <v>101</v>
      </c>
      <c r="C42" s="75"/>
      <c r="D42" s="76">
        <f>SUM(D43)</f>
        <v>187812</v>
      </c>
      <c r="E42" s="76">
        <f t="shared" ref="E42:P42" si="13">SUM(E43)</f>
        <v>15651</v>
      </c>
      <c r="F42" s="76">
        <f t="shared" si="13"/>
        <v>15651</v>
      </c>
      <c r="G42" s="76">
        <f t="shared" si="13"/>
        <v>15651</v>
      </c>
      <c r="H42" s="76">
        <f t="shared" si="13"/>
        <v>15651</v>
      </c>
      <c r="I42" s="76">
        <f t="shared" si="13"/>
        <v>15651</v>
      </c>
      <c r="J42" s="76">
        <f t="shared" si="13"/>
        <v>15651</v>
      </c>
      <c r="K42" s="76">
        <f t="shared" si="13"/>
        <v>15651</v>
      </c>
      <c r="L42" s="76">
        <f t="shared" si="13"/>
        <v>15651</v>
      </c>
      <c r="M42" s="76">
        <f t="shared" si="13"/>
        <v>15651</v>
      </c>
      <c r="N42" s="76">
        <f t="shared" si="13"/>
        <v>15651</v>
      </c>
      <c r="O42" s="76">
        <f t="shared" si="13"/>
        <v>15651</v>
      </c>
      <c r="P42" s="76">
        <f t="shared" si="13"/>
        <v>15651</v>
      </c>
      <c r="Q42" s="100">
        <f t="shared" si="1"/>
        <v>187812</v>
      </c>
    </row>
    <row r="43" spans="1:17">
      <c r="A43" s="46"/>
      <c r="B43" s="57" t="s">
        <v>102</v>
      </c>
      <c r="C43" s="66">
        <v>75515</v>
      </c>
      <c r="D43" s="67">
        <v>187812</v>
      </c>
      <c r="E43" s="68">
        <v>15651</v>
      </c>
      <c r="F43" s="69">
        <v>15651</v>
      </c>
      <c r="G43" s="68">
        <v>15651</v>
      </c>
      <c r="H43" s="69">
        <v>15651</v>
      </c>
      <c r="I43" s="68">
        <v>15651</v>
      </c>
      <c r="J43" s="69">
        <v>15651</v>
      </c>
      <c r="K43" s="68">
        <v>15651</v>
      </c>
      <c r="L43" s="69">
        <v>15651</v>
      </c>
      <c r="M43" s="68">
        <v>15651</v>
      </c>
      <c r="N43" s="69">
        <v>15651</v>
      </c>
      <c r="O43" s="68">
        <v>15651</v>
      </c>
      <c r="P43" s="68">
        <v>15651</v>
      </c>
      <c r="Q43" s="100">
        <f t="shared" si="1"/>
        <v>187812</v>
      </c>
    </row>
    <row r="44" spans="1:17">
      <c r="A44" s="64">
        <v>756</v>
      </c>
      <c r="B44" s="53" t="s">
        <v>103</v>
      </c>
      <c r="C44" s="54"/>
      <c r="D44" s="62">
        <f>SUM(D45:D47)</f>
        <v>13679007</v>
      </c>
      <c r="E44" s="62">
        <f t="shared" ref="E44:P44" si="14">SUM(E45:E47)</f>
        <v>1572289</v>
      </c>
      <c r="F44" s="63">
        <f t="shared" si="14"/>
        <v>825980</v>
      </c>
      <c r="G44" s="62">
        <f t="shared" si="14"/>
        <v>720157</v>
      </c>
      <c r="H44" s="63">
        <f t="shared" si="14"/>
        <v>1037616</v>
      </c>
      <c r="I44" s="62">
        <f t="shared" si="14"/>
        <v>987805</v>
      </c>
      <c r="J44" s="63">
        <f t="shared" si="14"/>
        <v>808293</v>
      </c>
      <c r="K44" s="62">
        <f t="shared" si="14"/>
        <v>946373</v>
      </c>
      <c r="L44" s="63">
        <f t="shared" si="14"/>
        <v>1084191</v>
      </c>
      <c r="M44" s="62">
        <f t="shared" si="14"/>
        <v>1097493</v>
      </c>
      <c r="N44" s="63">
        <f t="shared" si="14"/>
        <v>1174275</v>
      </c>
      <c r="O44" s="62">
        <f t="shared" si="14"/>
        <v>1127241</v>
      </c>
      <c r="P44" s="62">
        <f t="shared" si="14"/>
        <v>2297294</v>
      </c>
      <c r="Q44" s="100">
        <f t="shared" si="1"/>
        <v>13679007</v>
      </c>
    </row>
    <row r="45" spans="1:17">
      <c r="A45" s="46"/>
      <c r="B45" s="57" t="s">
        <v>104</v>
      </c>
      <c r="C45" s="66">
        <v>75618</v>
      </c>
      <c r="D45" s="67">
        <v>332000</v>
      </c>
      <c r="E45" s="68">
        <v>255822</v>
      </c>
      <c r="F45" s="69">
        <v>6925</v>
      </c>
      <c r="G45" s="68">
        <v>6925</v>
      </c>
      <c r="H45" s="69">
        <v>6925</v>
      </c>
      <c r="I45" s="68">
        <v>6925</v>
      </c>
      <c r="J45" s="69">
        <v>6925</v>
      </c>
      <c r="K45" s="68">
        <v>6925</v>
      </c>
      <c r="L45" s="69">
        <v>6925</v>
      </c>
      <c r="M45" s="68">
        <v>6925</v>
      </c>
      <c r="N45" s="69">
        <v>6925</v>
      </c>
      <c r="O45" s="68">
        <v>6925</v>
      </c>
      <c r="P45" s="68">
        <v>6928</v>
      </c>
      <c r="Q45" s="100">
        <f t="shared" si="1"/>
        <v>332000</v>
      </c>
    </row>
    <row r="46" spans="1:17">
      <c r="A46" s="46"/>
      <c r="B46" s="57" t="s">
        <v>105</v>
      </c>
      <c r="C46" s="66">
        <v>75622</v>
      </c>
      <c r="D46" s="67">
        <v>12911536</v>
      </c>
      <c r="E46" s="68">
        <v>1291718</v>
      </c>
      <c r="F46" s="69">
        <v>781717</v>
      </c>
      <c r="G46" s="68">
        <v>675894</v>
      </c>
      <c r="H46" s="69">
        <v>993353</v>
      </c>
      <c r="I46" s="68">
        <v>943542</v>
      </c>
      <c r="J46" s="69">
        <v>764030</v>
      </c>
      <c r="K46" s="68">
        <v>902110</v>
      </c>
      <c r="L46" s="69">
        <v>1039928</v>
      </c>
      <c r="M46" s="68">
        <v>1053230</v>
      </c>
      <c r="N46" s="69">
        <v>1130012</v>
      </c>
      <c r="O46" s="68">
        <v>1082978</v>
      </c>
      <c r="P46" s="68">
        <v>2253024</v>
      </c>
      <c r="Q46" s="100">
        <f t="shared" si="1"/>
        <v>12911536</v>
      </c>
    </row>
    <row r="47" spans="1:17">
      <c r="A47" s="46"/>
      <c r="B47" s="57" t="s">
        <v>106</v>
      </c>
      <c r="C47" s="66">
        <v>75622</v>
      </c>
      <c r="D47" s="67">
        <v>435471</v>
      </c>
      <c r="E47" s="68">
        <v>24749</v>
      </c>
      <c r="F47" s="69">
        <v>37338</v>
      </c>
      <c r="G47" s="68">
        <v>37338</v>
      </c>
      <c r="H47" s="69">
        <v>37338</v>
      </c>
      <c r="I47" s="68">
        <v>37338</v>
      </c>
      <c r="J47" s="69">
        <v>37338</v>
      </c>
      <c r="K47" s="68">
        <v>37338</v>
      </c>
      <c r="L47" s="69">
        <v>37338</v>
      </c>
      <c r="M47" s="68">
        <v>37338</v>
      </c>
      <c r="N47" s="69">
        <v>37338</v>
      </c>
      <c r="O47" s="68">
        <v>37338</v>
      </c>
      <c r="P47" s="68">
        <v>37342</v>
      </c>
      <c r="Q47" s="100">
        <f t="shared" si="1"/>
        <v>435471</v>
      </c>
    </row>
    <row r="48" spans="1:17">
      <c r="A48" s="64">
        <v>758</v>
      </c>
      <c r="B48" s="53" t="s">
        <v>107</v>
      </c>
      <c r="C48" s="54"/>
      <c r="D48" s="55">
        <f>SUM(D49:D52)</f>
        <v>35364699</v>
      </c>
      <c r="E48" s="55">
        <f t="shared" ref="E48:P48" si="15">SUM(E49:E52)</f>
        <v>5240443</v>
      </c>
      <c r="F48" s="56">
        <f t="shared" si="15"/>
        <v>5015173</v>
      </c>
      <c r="G48" s="55">
        <f t="shared" si="15"/>
        <v>2889273</v>
      </c>
      <c r="H48" s="56">
        <f t="shared" si="15"/>
        <v>2703233</v>
      </c>
      <c r="I48" s="55">
        <f t="shared" si="15"/>
        <v>2703233</v>
      </c>
      <c r="J48" s="56">
        <f t="shared" si="15"/>
        <v>2703233</v>
      </c>
      <c r="K48" s="55">
        <f t="shared" si="15"/>
        <v>2732161</v>
      </c>
      <c r="L48" s="56">
        <f t="shared" si="15"/>
        <v>2703233</v>
      </c>
      <c r="M48" s="55">
        <f t="shared" si="15"/>
        <v>2703233</v>
      </c>
      <c r="N48" s="56">
        <f t="shared" si="15"/>
        <v>2703233</v>
      </c>
      <c r="O48" s="55">
        <f t="shared" si="15"/>
        <v>2703239</v>
      </c>
      <c r="P48" s="55">
        <f t="shared" si="15"/>
        <v>565012</v>
      </c>
      <c r="Q48" s="100">
        <f t="shared" si="1"/>
        <v>35364699</v>
      </c>
    </row>
    <row r="49" spans="1:17">
      <c r="A49" s="46"/>
      <c r="B49" s="57" t="s">
        <v>108</v>
      </c>
      <c r="C49" s="66">
        <v>75801</v>
      </c>
      <c r="D49" s="67">
        <v>31785422</v>
      </c>
      <c r="E49" s="77">
        <v>4942170</v>
      </c>
      <c r="F49" s="78">
        <v>4716900</v>
      </c>
      <c r="G49" s="77">
        <v>2591000</v>
      </c>
      <c r="H49" s="78">
        <v>2404960</v>
      </c>
      <c r="I49" s="77">
        <v>2404960</v>
      </c>
      <c r="J49" s="78">
        <v>2404960</v>
      </c>
      <c r="K49" s="77">
        <v>2433888</v>
      </c>
      <c r="L49" s="78">
        <v>2404960</v>
      </c>
      <c r="M49" s="77">
        <v>2404960</v>
      </c>
      <c r="N49" s="78">
        <v>2404960</v>
      </c>
      <c r="O49" s="77">
        <v>2404966</v>
      </c>
      <c r="P49" s="77">
        <v>266738</v>
      </c>
      <c r="Q49" s="100">
        <f t="shared" si="1"/>
        <v>31785422</v>
      </c>
    </row>
    <row r="50" spans="1:17">
      <c r="A50" s="46"/>
      <c r="B50" s="57" t="s">
        <v>109</v>
      </c>
      <c r="C50" s="66">
        <v>75803</v>
      </c>
      <c r="D50" s="67">
        <v>3169144</v>
      </c>
      <c r="E50" s="77">
        <v>264095</v>
      </c>
      <c r="F50" s="78">
        <v>264095</v>
      </c>
      <c r="G50" s="77">
        <v>264095</v>
      </c>
      <c r="H50" s="78">
        <v>264095</v>
      </c>
      <c r="I50" s="77">
        <v>264095</v>
      </c>
      <c r="J50" s="78">
        <v>264095</v>
      </c>
      <c r="K50" s="77">
        <v>264095</v>
      </c>
      <c r="L50" s="78">
        <v>264095</v>
      </c>
      <c r="M50" s="77">
        <v>264095</v>
      </c>
      <c r="N50" s="78">
        <v>264095</v>
      </c>
      <c r="O50" s="77">
        <v>264095</v>
      </c>
      <c r="P50" s="77">
        <v>264099</v>
      </c>
      <c r="Q50" s="100">
        <f t="shared" si="1"/>
        <v>3169144</v>
      </c>
    </row>
    <row r="51" spans="1:17">
      <c r="A51" s="46"/>
      <c r="B51" s="57" t="s">
        <v>110</v>
      </c>
      <c r="C51" s="66">
        <v>75814</v>
      </c>
      <c r="D51" s="67">
        <v>110963</v>
      </c>
      <c r="E51" s="68">
        <v>9247</v>
      </c>
      <c r="F51" s="69">
        <v>9247</v>
      </c>
      <c r="G51" s="68">
        <v>9247</v>
      </c>
      <c r="H51" s="69">
        <v>9247</v>
      </c>
      <c r="I51" s="68">
        <v>9247</v>
      </c>
      <c r="J51" s="69">
        <v>9247</v>
      </c>
      <c r="K51" s="68">
        <v>9247</v>
      </c>
      <c r="L51" s="69">
        <v>9247</v>
      </c>
      <c r="M51" s="68">
        <v>9247</v>
      </c>
      <c r="N51" s="69">
        <v>9247</v>
      </c>
      <c r="O51" s="68">
        <v>9247</v>
      </c>
      <c r="P51" s="68">
        <v>9246</v>
      </c>
      <c r="Q51" s="100">
        <f t="shared" si="1"/>
        <v>110963</v>
      </c>
    </row>
    <row r="52" spans="1:17">
      <c r="A52" s="46"/>
      <c r="B52" s="57" t="s">
        <v>111</v>
      </c>
      <c r="C52" s="66">
        <v>75832</v>
      </c>
      <c r="D52" s="67">
        <v>299170</v>
      </c>
      <c r="E52" s="77">
        <v>24931</v>
      </c>
      <c r="F52" s="78">
        <v>24931</v>
      </c>
      <c r="G52" s="77">
        <v>24931</v>
      </c>
      <c r="H52" s="78">
        <v>24931</v>
      </c>
      <c r="I52" s="77">
        <v>24931</v>
      </c>
      <c r="J52" s="78">
        <v>24931</v>
      </c>
      <c r="K52" s="77">
        <v>24931</v>
      </c>
      <c r="L52" s="78">
        <v>24931</v>
      </c>
      <c r="M52" s="77">
        <v>24931</v>
      </c>
      <c r="N52" s="78">
        <v>24931</v>
      </c>
      <c r="O52" s="77">
        <v>24931</v>
      </c>
      <c r="P52" s="77">
        <v>24929</v>
      </c>
      <c r="Q52" s="100">
        <f t="shared" si="1"/>
        <v>299170</v>
      </c>
    </row>
    <row r="53" spans="1:17">
      <c r="A53" s="64">
        <v>801</v>
      </c>
      <c r="B53" s="53" t="s">
        <v>112</v>
      </c>
      <c r="C53" s="54"/>
      <c r="D53" s="55">
        <f>SUM(D54+D55+D59+D65+D66+D67)</f>
        <v>533853</v>
      </c>
      <c r="E53" s="55">
        <f t="shared" ref="E53:P53" si="16">SUM(E54+E55+E59+E65+E66+E67)</f>
        <v>57975</v>
      </c>
      <c r="F53" s="55">
        <f t="shared" si="16"/>
        <v>27106</v>
      </c>
      <c r="G53" s="55">
        <f t="shared" si="16"/>
        <v>89062</v>
      </c>
      <c r="H53" s="55">
        <f t="shared" si="16"/>
        <v>45117</v>
      </c>
      <c r="I53" s="55">
        <f t="shared" si="16"/>
        <v>38167</v>
      </c>
      <c r="J53" s="55">
        <f t="shared" si="16"/>
        <v>78747</v>
      </c>
      <c r="K53" s="55">
        <f t="shared" si="16"/>
        <v>32977</v>
      </c>
      <c r="L53" s="55">
        <f t="shared" si="16"/>
        <v>19919</v>
      </c>
      <c r="M53" s="55">
        <f t="shared" si="16"/>
        <v>25097</v>
      </c>
      <c r="N53" s="55">
        <f t="shared" si="16"/>
        <v>37957</v>
      </c>
      <c r="O53" s="55">
        <f t="shared" si="16"/>
        <v>38210</v>
      </c>
      <c r="P53" s="55">
        <f t="shared" si="16"/>
        <v>43519</v>
      </c>
      <c r="Q53" s="100">
        <f t="shared" si="1"/>
        <v>533853</v>
      </c>
    </row>
    <row r="54" spans="1:17">
      <c r="A54" s="65"/>
      <c r="B54" s="57" t="s">
        <v>113</v>
      </c>
      <c r="C54" s="66">
        <v>80102</v>
      </c>
      <c r="D54" s="67">
        <v>132632</v>
      </c>
      <c r="E54" s="68">
        <v>1514</v>
      </c>
      <c r="F54" s="69">
        <v>9696</v>
      </c>
      <c r="G54" s="68">
        <v>13430</v>
      </c>
      <c r="H54" s="69">
        <v>13500</v>
      </c>
      <c r="I54" s="68">
        <v>14170</v>
      </c>
      <c r="J54" s="69">
        <v>13470</v>
      </c>
      <c r="K54" s="68">
        <v>13470</v>
      </c>
      <c r="L54" s="69">
        <v>470</v>
      </c>
      <c r="M54" s="68">
        <v>520</v>
      </c>
      <c r="N54" s="69">
        <v>13420</v>
      </c>
      <c r="O54" s="68">
        <v>14120</v>
      </c>
      <c r="P54" s="68">
        <v>24852</v>
      </c>
      <c r="Q54" s="100">
        <f t="shared" si="1"/>
        <v>132632</v>
      </c>
    </row>
    <row r="55" spans="1:17">
      <c r="A55" s="65"/>
      <c r="B55" s="57" t="s">
        <v>114</v>
      </c>
      <c r="C55" s="66">
        <v>80120</v>
      </c>
      <c r="D55" s="67">
        <f>SUM(D56:D58)</f>
        <v>59919</v>
      </c>
      <c r="E55" s="67">
        <f t="shared" ref="E55:P55" si="17">SUM(E56:E58)</f>
        <v>3232</v>
      </c>
      <c r="F55" s="67">
        <f t="shared" si="17"/>
        <v>3326</v>
      </c>
      <c r="G55" s="67">
        <f t="shared" si="17"/>
        <v>6038</v>
      </c>
      <c r="H55" s="67">
        <f t="shared" si="17"/>
        <v>3358</v>
      </c>
      <c r="I55" s="67">
        <f t="shared" si="17"/>
        <v>3328</v>
      </c>
      <c r="J55" s="67">
        <f t="shared" si="17"/>
        <v>20638</v>
      </c>
      <c r="K55" s="67">
        <f t="shared" si="17"/>
        <v>3358</v>
      </c>
      <c r="L55" s="67">
        <f t="shared" si="17"/>
        <v>3328</v>
      </c>
      <c r="M55" s="67">
        <f t="shared" si="17"/>
        <v>3328</v>
      </c>
      <c r="N55" s="67">
        <f t="shared" si="17"/>
        <v>3328</v>
      </c>
      <c r="O55" s="67">
        <f t="shared" si="17"/>
        <v>3328</v>
      </c>
      <c r="P55" s="67">
        <f t="shared" si="17"/>
        <v>3329</v>
      </c>
      <c r="Q55" s="100">
        <f>SUM(E55:P55)</f>
        <v>59919</v>
      </c>
    </row>
    <row r="56" spans="1:17">
      <c r="A56" s="65"/>
      <c r="B56" s="57" t="s">
        <v>115</v>
      </c>
      <c r="C56" s="66"/>
      <c r="D56" s="70">
        <v>26749</v>
      </c>
      <c r="E56" s="59">
        <v>2229</v>
      </c>
      <c r="F56" s="60">
        <v>2229</v>
      </c>
      <c r="G56" s="79">
        <v>2229</v>
      </c>
      <c r="H56" s="80">
        <v>2229</v>
      </c>
      <c r="I56" s="79">
        <v>2229</v>
      </c>
      <c r="J56" s="80">
        <v>2229</v>
      </c>
      <c r="K56" s="79">
        <v>2229</v>
      </c>
      <c r="L56" s="80">
        <v>2229</v>
      </c>
      <c r="M56" s="79">
        <v>2229</v>
      </c>
      <c r="N56" s="80">
        <v>2229</v>
      </c>
      <c r="O56" s="79">
        <v>2229</v>
      </c>
      <c r="P56" s="79">
        <v>2230</v>
      </c>
      <c r="Q56" s="100">
        <f t="shared" si="1"/>
        <v>26749</v>
      </c>
    </row>
    <row r="57" spans="1:17">
      <c r="A57" s="65"/>
      <c r="B57" s="57" t="s">
        <v>116</v>
      </c>
      <c r="C57" s="66"/>
      <c r="D57" s="73">
        <v>21170</v>
      </c>
      <c r="E57" s="59">
        <v>1003</v>
      </c>
      <c r="F57" s="60">
        <v>1097</v>
      </c>
      <c r="G57" s="79">
        <f>1099+2710</f>
        <v>3809</v>
      </c>
      <c r="H57" s="80">
        <v>1129</v>
      </c>
      <c r="I57" s="79">
        <v>1099</v>
      </c>
      <c r="J57" s="80">
        <f>1099+5310</f>
        <v>6409</v>
      </c>
      <c r="K57" s="79">
        <v>1129</v>
      </c>
      <c r="L57" s="80">
        <v>1099</v>
      </c>
      <c r="M57" s="79">
        <v>1099</v>
      </c>
      <c r="N57" s="80">
        <v>1099</v>
      </c>
      <c r="O57" s="79">
        <v>1099</v>
      </c>
      <c r="P57" s="79">
        <v>1099</v>
      </c>
      <c r="Q57" s="100">
        <f t="shared" si="1"/>
        <v>21170</v>
      </c>
    </row>
    <row r="58" spans="1:17" s="4" customFormat="1">
      <c r="A58" s="65"/>
      <c r="B58" s="57" t="s">
        <v>232</v>
      </c>
      <c r="C58" s="66"/>
      <c r="D58" s="73">
        <v>12000</v>
      </c>
      <c r="E58" s="59"/>
      <c r="F58" s="60"/>
      <c r="G58" s="79"/>
      <c r="H58" s="80"/>
      <c r="I58" s="79"/>
      <c r="J58" s="80">
        <v>12000</v>
      </c>
      <c r="K58" s="79"/>
      <c r="L58" s="80"/>
      <c r="M58" s="79"/>
      <c r="N58" s="80"/>
      <c r="O58" s="79"/>
      <c r="P58" s="79"/>
      <c r="Q58" s="100">
        <f t="shared" si="1"/>
        <v>12000</v>
      </c>
    </row>
    <row r="59" spans="1:17">
      <c r="A59" s="65"/>
      <c r="B59" s="57" t="s">
        <v>117</v>
      </c>
      <c r="C59" s="66">
        <v>80130</v>
      </c>
      <c r="D59" s="67">
        <f t="shared" ref="D59:P59" si="18">SUM(D60:D64)</f>
        <v>156302</v>
      </c>
      <c r="E59" s="68">
        <f t="shared" si="18"/>
        <v>9216</v>
      </c>
      <c r="F59" s="68">
        <f t="shared" si="18"/>
        <v>9251</v>
      </c>
      <c r="G59" s="68">
        <f t="shared" si="18"/>
        <v>9941</v>
      </c>
      <c r="H59" s="68">
        <f t="shared" si="18"/>
        <v>17926</v>
      </c>
      <c r="I59" s="68">
        <f t="shared" si="18"/>
        <v>10336</v>
      </c>
      <c r="J59" s="68">
        <f t="shared" si="18"/>
        <v>35306</v>
      </c>
      <c r="K59" s="68">
        <f t="shared" si="18"/>
        <v>10816</v>
      </c>
      <c r="L59" s="68">
        <f t="shared" si="18"/>
        <v>10788</v>
      </c>
      <c r="M59" s="68">
        <f t="shared" si="18"/>
        <v>10916</v>
      </c>
      <c r="N59" s="68">
        <f t="shared" si="18"/>
        <v>10876</v>
      </c>
      <c r="O59" s="68">
        <f t="shared" si="18"/>
        <v>10429</v>
      </c>
      <c r="P59" s="68">
        <f t="shared" si="18"/>
        <v>10501</v>
      </c>
      <c r="Q59" s="100">
        <f t="shared" si="1"/>
        <v>156302</v>
      </c>
    </row>
    <row r="60" spans="1:17">
      <c r="A60" s="65"/>
      <c r="B60" s="57" t="s">
        <v>118</v>
      </c>
      <c r="C60" s="66"/>
      <c r="D60" s="67">
        <v>65099</v>
      </c>
      <c r="E60" s="59">
        <v>4500</v>
      </c>
      <c r="F60" s="60">
        <v>4500</v>
      </c>
      <c r="G60" s="59">
        <v>5100</v>
      </c>
      <c r="H60" s="60">
        <v>5100</v>
      </c>
      <c r="I60" s="59">
        <v>5500</v>
      </c>
      <c r="J60" s="60">
        <v>5500</v>
      </c>
      <c r="K60" s="59">
        <v>6000</v>
      </c>
      <c r="L60" s="60">
        <v>6000</v>
      </c>
      <c r="M60" s="59">
        <v>6000</v>
      </c>
      <c r="N60" s="60">
        <v>6000</v>
      </c>
      <c r="O60" s="59">
        <v>5500</v>
      </c>
      <c r="P60" s="59">
        <v>5399</v>
      </c>
      <c r="Q60" s="167">
        <f t="shared" si="1"/>
        <v>65099</v>
      </c>
    </row>
    <row r="61" spans="1:17" s="170" customFormat="1">
      <c r="A61" s="65"/>
      <c r="B61" s="57" t="s">
        <v>119</v>
      </c>
      <c r="C61" s="66"/>
      <c r="D61" s="58">
        <v>17925</v>
      </c>
      <c r="E61" s="67">
        <v>1483</v>
      </c>
      <c r="F61" s="173">
        <v>1483</v>
      </c>
      <c r="G61" s="67">
        <v>1483</v>
      </c>
      <c r="H61" s="173">
        <v>1483</v>
      </c>
      <c r="I61" s="67">
        <v>1483</v>
      </c>
      <c r="J61" s="173">
        <v>1483</v>
      </c>
      <c r="K61" s="67">
        <v>1483</v>
      </c>
      <c r="L61" s="173">
        <v>1483</v>
      </c>
      <c r="M61" s="67">
        <v>1483</v>
      </c>
      <c r="N61" s="173">
        <v>1483</v>
      </c>
      <c r="O61" s="67">
        <v>1486</v>
      </c>
      <c r="P61" s="67">
        <f>1485+124</f>
        <v>1609</v>
      </c>
      <c r="Q61" s="169">
        <f t="shared" si="1"/>
        <v>17925</v>
      </c>
    </row>
    <row r="62" spans="1:17">
      <c r="A62" s="65"/>
      <c r="B62" s="57" t="s">
        <v>120</v>
      </c>
      <c r="C62" s="66"/>
      <c r="D62" s="58">
        <v>63076</v>
      </c>
      <c r="E62" s="59">
        <v>3173</v>
      </c>
      <c r="F62" s="60">
        <v>3173</v>
      </c>
      <c r="G62" s="59">
        <v>3173</v>
      </c>
      <c r="H62" s="60">
        <v>3173</v>
      </c>
      <c r="I62" s="59">
        <v>3173</v>
      </c>
      <c r="J62" s="60">
        <f>3173+25000</f>
        <v>28173</v>
      </c>
      <c r="K62" s="59">
        <v>3173</v>
      </c>
      <c r="L62" s="60">
        <v>3173</v>
      </c>
      <c r="M62" s="59">
        <v>3173</v>
      </c>
      <c r="N62" s="60">
        <v>3173</v>
      </c>
      <c r="O62" s="59">
        <v>3173</v>
      </c>
      <c r="P62" s="59">
        <v>3173</v>
      </c>
      <c r="Q62" s="100">
        <f t="shared" si="1"/>
        <v>63076</v>
      </c>
    </row>
    <row r="63" spans="1:17">
      <c r="A63" s="65"/>
      <c r="B63" s="57" t="s">
        <v>121</v>
      </c>
      <c r="C63" s="66"/>
      <c r="D63" s="67">
        <v>9480</v>
      </c>
      <c r="E63" s="59">
        <v>10</v>
      </c>
      <c r="F63" s="60">
        <v>80</v>
      </c>
      <c r="G63" s="59">
        <v>150</v>
      </c>
      <c r="H63" s="60">
        <f>150+7978</f>
        <v>8128</v>
      </c>
      <c r="I63" s="59">
        <v>150</v>
      </c>
      <c r="J63" s="60">
        <v>80</v>
      </c>
      <c r="K63" s="59">
        <v>80</v>
      </c>
      <c r="L63" s="60">
        <v>82</v>
      </c>
      <c r="M63" s="59">
        <v>180</v>
      </c>
      <c r="N63" s="60">
        <v>180</v>
      </c>
      <c r="O63" s="59">
        <v>180</v>
      </c>
      <c r="P63" s="59">
        <v>180</v>
      </c>
      <c r="Q63" s="100">
        <f t="shared" si="1"/>
        <v>9480</v>
      </c>
    </row>
    <row r="64" spans="1:17">
      <c r="A64" s="65"/>
      <c r="B64" s="57" t="s">
        <v>122</v>
      </c>
      <c r="C64" s="66"/>
      <c r="D64" s="168">
        <v>722</v>
      </c>
      <c r="E64" s="59">
        <v>50</v>
      </c>
      <c r="F64" s="60">
        <v>15</v>
      </c>
      <c r="G64" s="59">
        <v>35</v>
      </c>
      <c r="H64" s="60">
        <v>42</v>
      </c>
      <c r="I64" s="59">
        <v>30</v>
      </c>
      <c r="J64" s="60">
        <v>70</v>
      </c>
      <c r="K64" s="59">
        <v>80</v>
      </c>
      <c r="L64" s="60">
        <v>50</v>
      </c>
      <c r="M64" s="59">
        <v>80</v>
      </c>
      <c r="N64" s="60">
        <v>40</v>
      </c>
      <c r="O64" s="59">
        <v>90</v>
      </c>
      <c r="P64" s="59">
        <v>140</v>
      </c>
      <c r="Q64" s="100">
        <f t="shared" si="1"/>
        <v>722</v>
      </c>
    </row>
    <row r="65" spans="1:17">
      <c r="A65" s="65"/>
      <c r="B65" s="57" t="s">
        <v>123</v>
      </c>
      <c r="C65" s="66">
        <v>80144</v>
      </c>
      <c r="D65" s="58">
        <v>129000</v>
      </c>
      <c r="E65" s="59">
        <v>39180</v>
      </c>
      <c r="F65" s="81">
        <v>0</v>
      </c>
      <c r="G65" s="82">
        <v>53820</v>
      </c>
      <c r="H65" s="81">
        <v>4500</v>
      </c>
      <c r="I65" s="82">
        <v>4500</v>
      </c>
      <c r="J65" s="81">
        <v>4500</v>
      </c>
      <c r="K65" s="59">
        <v>4500</v>
      </c>
      <c r="L65" s="60">
        <v>4500</v>
      </c>
      <c r="M65" s="59">
        <v>4500</v>
      </c>
      <c r="N65" s="60">
        <v>4500</v>
      </c>
      <c r="O65" s="59">
        <v>4500</v>
      </c>
      <c r="P65" s="59">
        <v>0</v>
      </c>
      <c r="Q65" s="100">
        <f t="shared" si="1"/>
        <v>129000</v>
      </c>
    </row>
    <row r="66" spans="1:17">
      <c r="A66" s="65"/>
      <c r="B66" s="57" t="s">
        <v>124</v>
      </c>
      <c r="C66" s="66">
        <v>80148</v>
      </c>
      <c r="D66" s="67">
        <v>46000</v>
      </c>
      <c r="E66" s="82">
        <v>4000</v>
      </c>
      <c r="F66" s="81">
        <v>4000</v>
      </c>
      <c r="G66" s="82">
        <v>5000</v>
      </c>
      <c r="H66" s="81">
        <v>5000</v>
      </c>
      <c r="I66" s="82">
        <v>5000</v>
      </c>
      <c r="J66" s="81">
        <v>4000</v>
      </c>
      <c r="K66" s="82">
        <v>0</v>
      </c>
      <c r="L66" s="81">
        <v>0</v>
      </c>
      <c r="M66" s="82">
        <v>5000</v>
      </c>
      <c r="N66" s="81">
        <v>5000</v>
      </c>
      <c r="O66" s="82">
        <v>5000</v>
      </c>
      <c r="P66" s="82">
        <v>4000</v>
      </c>
      <c r="Q66" s="100">
        <f t="shared" si="1"/>
        <v>46000</v>
      </c>
    </row>
    <row r="67" spans="1:17">
      <c r="A67" s="65"/>
      <c r="B67" s="57" t="s">
        <v>125</v>
      </c>
      <c r="C67" s="66">
        <v>80151</v>
      </c>
      <c r="D67" s="67">
        <v>10000</v>
      </c>
      <c r="E67" s="82">
        <v>833</v>
      </c>
      <c r="F67" s="81">
        <v>833</v>
      </c>
      <c r="G67" s="82">
        <v>833</v>
      </c>
      <c r="H67" s="81">
        <v>833</v>
      </c>
      <c r="I67" s="82">
        <v>833</v>
      </c>
      <c r="J67" s="81">
        <v>833</v>
      </c>
      <c r="K67" s="82">
        <v>833</v>
      </c>
      <c r="L67" s="81">
        <v>833</v>
      </c>
      <c r="M67" s="82">
        <v>833</v>
      </c>
      <c r="N67" s="81">
        <v>833</v>
      </c>
      <c r="O67" s="82">
        <v>833</v>
      </c>
      <c r="P67" s="82">
        <v>837</v>
      </c>
      <c r="Q67" s="100">
        <f t="shared" si="1"/>
        <v>10000</v>
      </c>
    </row>
    <row r="68" spans="1:17">
      <c r="A68" s="64">
        <v>851</v>
      </c>
      <c r="B68" s="53" t="s">
        <v>126</v>
      </c>
      <c r="C68" s="54"/>
      <c r="D68" s="83">
        <f>SUM(D69:D69)</f>
        <v>1908900</v>
      </c>
      <c r="E68" s="83">
        <f t="shared" ref="E68:P68" si="19">SUM(E69:E69)</f>
        <v>143500</v>
      </c>
      <c r="F68" s="84">
        <f t="shared" si="19"/>
        <v>150749</v>
      </c>
      <c r="G68" s="83">
        <f t="shared" si="19"/>
        <v>150859</v>
      </c>
      <c r="H68" s="84">
        <f t="shared" si="19"/>
        <v>150859</v>
      </c>
      <c r="I68" s="83">
        <f t="shared" si="19"/>
        <v>150859</v>
      </c>
      <c r="J68" s="84">
        <f t="shared" si="19"/>
        <v>150859</v>
      </c>
      <c r="K68" s="83">
        <f t="shared" si="19"/>
        <v>150859</v>
      </c>
      <c r="L68" s="84">
        <f t="shared" si="19"/>
        <v>148859</v>
      </c>
      <c r="M68" s="83">
        <f t="shared" si="19"/>
        <v>148859</v>
      </c>
      <c r="N68" s="84">
        <f t="shared" si="19"/>
        <v>140859</v>
      </c>
      <c r="O68" s="83">
        <f t="shared" si="19"/>
        <v>140859</v>
      </c>
      <c r="P68" s="83">
        <f t="shared" si="19"/>
        <v>280920</v>
      </c>
      <c r="Q68" s="100">
        <f t="shared" si="1"/>
        <v>1908900</v>
      </c>
    </row>
    <row r="69" spans="1:17">
      <c r="A69" s="65"/>
      <c r="B69" s="57" t="s">
        <v>127</v>
      </c>
      <c r="C69" s="66">
        <v>85156</v>
      </c>
      <c r="D69" s="67">
        <f>SUM(D70:D71)</f>
        <v>1908900</v>
      </c>
      <c r="E69" s="68">
        <f t="shared" ref="E69:P69" si="20">SUM(E70:E71)</f>
        <v>143500</v>
      </c>
      <c r="F69" s="69">
        <f t="shared" si="20"/>
        <v>150749</v>
      </c>
      <c r="G69" s="68">
        <f t="shared" si="20"/>
        <v>150859</v>
      </c>
      <c r="H69" s="69">
        <f t="shared" si="20"/>
        <v>150859</v>
      </c>
      <c r="I69" s="68">
        <f t="shared" si="20"/>
        <v>150859</v>
      </c>
      <c r="J69" s="69">
        <f t="shared" si="20"/>
        <v>150859</v>
      </c>
      <c r="K69" s="68">
        <f t="shared" si="20"/>
        <v>150859</v>
      </c>
      <c r="L69" s="69">
        <f t="shared" si="20"/>
        <v>148859</v>
      </c>
      <c r="M69" s="68">
        <f t="shared" si="20"/>
        <v>148859</v>
      </c>
      <c r="N69" s="69">
        <f t="shared" si="20"/>
        <v>140859</v>
      </c>
      <c r="O69" s="68">
        <f t="shared" si="20"/>
        <v>140859</v>
      </c>
      <c r="P69" s="68">
        <f t="shared" si="20"/>
        <v>280920</v>
      </c>
      <c r="Q69" s="100">
        <f t="shared" si="1"/>
        <v>1908900</v>
      </c>
    </row>
    <row r="70" spans="1:17">
      <c r="A70" s="65"/>
      <c r="B70" s="57" t="s">
        <v>128</v>
      </c>
      <c r="C70" s="66"/>
      <c r="D70" s="67">
        <v>10200</v>
      </c>
      <c r="E70" s="59"/>
      <c r="F70" s="60">
        <v>749</v>
      </c>
      <c r="G70" s="59">
        <v>859</v>
      </c>
      <c r="H70" s="60">
        <v>859</v>
      </c>
      <c r="I70" s="59">
        <v>859</v>
      </c>
      <c r="J70" s="60">
        <v>859</v>
      </c>
      <c r="K70" s="59">
        <v>859</v>
      </c>
      <c r="L70" s="60">
        <v>859</v>
      </c>
      <c r="M70" s="59">
        <v>859</v>
      </c>
      <c r="N70" s="60">
        <v>859</v>
      </c>
      <c r="O70" s="59">
        <v>859</v>
      </c>
      <c r="P70" s="59">
        <v>1720</v>
      </c>
      <c r="Q70" s="100">
        <f t="shared" si="1"/>
        <v>10200</v>
      </c>
    </row>
    <row r="71" spans="1:17">
      <c r="A71" s="65"/>
      <c r="B71" s="57" t="s">
        <v>129</v>
      </c>
      <c r="C71" s="66"/>
      <c r="D71" s="67">
        <v>1898700</v>
      </c>
      <c r="E71" s="59">
        <v>143500</v>
      </c>
      <c r="F71" s="60">
        <v>150000</v>
      </c>
      <c r="G71" s="68">
        <v>150000</v>
      </c>
      <c r="H71" s="69">
        <v>150000</v>
      </c>
      <c r="I71" s="68">
        <v>150000</v>
      </c>
      <c r="J71" s="69">
        <v>150000</v>
      </c>
      <c r="K71" s="68">
        <v>150000</v>
      </c>
      <c r="L71" s="69">
        <v>148000</v>
      </c>
      <c r="M71" s="68">
        <v>148000</v>
      </c>
      <c r="N71" s="69">
        <v>140000</v>
      </c>
      <c r="O71" s="68">
        <v>140000</v>
      </c>
      <c r="P71" s="68">
        <v>279200</v>
      </c>
      <c r="Q71" s="100">
        <f t="shared" si="1"/>
        <v>1898700</v>
      </c>
    </row>
    <row r="72" spans="1:17">
      <c r="A72" s="64">
        <v>852</v>
      </c>
      <c r="B72" s="53" t="s">
        <v>130</v>
      </c>
      <c r="C72" s="54"/>
      <c r="D72" s="55">
        <f>SUM(D73+D77+D81+D80)</f>
        <v>8128595</v>
      </c>
      <c r="E72" s="55">
        <f t="shared" ref="E72:P72" si="21">SUM(E73+E77+E81+E80)</f>
        <v>453139</v>
      </c>
      <c r="F72" s="55">
        <f t="shared" si="21"/>
        <v>596217</v>
      </c>
      <c r="G72" s="55">
        <f t="shared" si="21"/>
        <v>762421</v>
      </c>
      <c r="H72" s="55">
        <f t="shared" si="21"/>
        <v>763066</v>
      </c>
      <c r="I72" s="55">
        <f t="shared" si="21"/>
        <v>690867</v>
      </c>
      <c r="J72" s="55">
        <f t="shared" si="21"/>
        <v>690997</v>
      </c>
      <c r="K72" s="55">
        <f t="shared" si="21"/>
        <v>690812</v>
      </c>
      <c r="L72" s="55">
        <f t="shared" si="21"/>
        <v>690812</v>
      </c>
      <c r="M72" s="55">
        <f t="shared" si="21"/>
        <v>690998</v>
      </c>
      <c r="N72" s="55">
        <f t="shared" si="21"/>
        <v>691612</v>
      </c>
      <c r="O72" s="55">
        <f t="shared" si="21"/>
        <v>693812</v>
      </c>
      <c r="P72" s="55">
        <f t="shared" si="21"/>
        <v>713842</v>
      </c>
      <c r="Q72" s="100">
        <f t="shared" si="1"/>
        <v>8128595</v>
      </c>
    </row>
    <row r="73" spans="1:17">
      <c r="A73" s="65"/>
      <c r="B73" s="57" t="s">
        <v>131</v>
      </c>
      <c r="C73" s="66">
        <v>85202</v>
      </c>
      <c r="D73" s="67">
        <f>SUM(D74:D76)</f>
        <v>6338314</v>
      </c>
      <c r="E73" s="68">
        <f t="shared" ref="E73:P73" si="22">SUM(E74:E76)</f>
        <v>319958</v>
      </c>
      <c r="F73" s="69">
        <f t="shared" si="22"/>
        <v>445277</v>
      </c>
      <c r="G73" s="68">
        <f t="shared" si="22"/>
        <v>611296</v>
      </c>
      <c r="H73" s="69">
        <f t="shared" si="22"/>
        <v>607896</v>
      </c>
      <c r="I73" s="68">
        <f t="shared" si="22"/>
        <v>542572</v>
      </c>
      <c r="J73" s="69">
        <f t="shared" si="22"/>
        <v>542572</v>
      </c>
      <c r="K73" s="68">
        <f t="shared" si="22"/>
        <v>542572</v>
      </c>
      <c r="L73" s="69">
        <f t="shared" si="22"/>
        <v>542572</v>
      </c>
      <c r="M73" s="68">
        <f t="shared" si="22"/>
        <v>542572</v>
      </c>
      <c r="N73" s="69">
        <f t="shared" si="22"/>
        <v>543072</v>
      </c>
      <c r="O73" s="68">
        <f t="shared" si="22"/>
        <v>545072</v>
      </c>
      <c r="P73" s="68">
        <f t="shared" si="22"/>
        <v>552883</v>
      </c>
      <c r="Q73" s="100">
        <f t="shared" si="1"/>
        <v>6338314</v>
      </c>
    </row>
    <row r="74" spans="1:17">
      <c r="A74" s="65"/>
      <c r="B74" s="57" t="s">
        <v>132</v>
      </c>
      <c r="C74" s="66"/>
      <c r="D74" s="67">
        <v>2430310</v>
      </c>
      <c r="E74" s="68">
        <v>21980</v>
      </c>
      <c r="F74" s="69">
        <v>219600</v>
      </c>
      <c r="G74" s="68">
        <v>218800</v>
      </c>
      <c r="H74" s="69">
        <v>218800</v>
      </c>
      <c r="I74" s="68">
        <v>218800</v>
      </c>
      <c r="J74" s="69">
        <v>218800</v>
      </c>
      <c r="K74" s="68">
        <v>218800</v>
      </c>
      <c r="L74" s="69">
        <v>218800</v>
      </c>
      <c r="M74" s="68">
        <v>218800</v>
      </c>
      <c r="N74" s="69">
        <v>218800</v>
      </c>
      <c r="O74" s="68">
        <v>218800</v>
      </c>
      <c r="P74" s="68">
        <v>219530</v>
      </c>
      <c r="Q74" s="100">
        <f t="shared" si="1"/>
        <v>2430310</v>
      </c>
    </row>
    <row r="75" spans="1:17">
      <c r="A75" s="65"/>
      <c r="B75" s="57" t="s">
        <v>133</v>
      </c>
      <c r="C75" s="66"/>
      <c r="D75" s="67">
        <v>2315868</v>
      </c>
      <c r="E75" s="68">
        <v>169673</v>
      </c>
      <c r="F75" s="69">
        <v>91878</v>
      </c>
      <c r="G75" s="68">
        <v>263400</v>
      </c>
      <c r="H75" s="69">
        <v>260000</v>
      </c>
      <c r="I75" s="68">
        <v>189792</v>
      </c>
      <c r="J75" s="69">
        <v>189792</v>
      </c>
      <c r="K75" s="68">
        <v>189792</v>
      </c>
      <c r="L75" s="69">
        <v>189792</v>
      </c>
      <c r="M75" s="68">
        <v>189792</v>
      </c>
      <c r="N75" s="69">
        <v>190292</v>
      </c>
      <c r="O75" s="68">
        <v>192292</v>
      </c>
      <c r="P75" s="68">
        <v>199373</v>
      </c>
      <c r="Q75" s="100">
        <f t="shared" si="1"/>
        <v>2315868</v>
      </c>
    </row>
    <row r="76" spans="1:17">
      <c r="A76" s="65"/>
      <c r="B76" s="57" t="s">
        <v>134</v>
      </c>
      <c r="C76" s="66"/>
      <c r="D76" s="67">
        <v>1592136</v>
      </c>
      <c r="E76" s="68">
        <v>128305</v>
      </c>
      <c r="F76" s="69">
        <v>133799</v>
      </c>
      <c r="G76" s="68">
        <v>129096</v>
      </c>
      <c r="H76" s="69">
        <v>129096</v>
      </c>
      <c r="I76" s="68">
        <v>133980</v>
      </c>
      <c r="J76" s="69">
        <f>133980</f>
        <v>133980</v>
      </c>
      <c r="K76" s="68">
        <v>133980</v>
      </c>
      <c r="L76" s="69">
        <v>133980</v>
      </c>
      <c r="M76" s="68">
        <v>133980</v>
      </c>
      <c r="N76" s="69">
        <v>133980</v>
      </c>
      <c r="O76" s="68">
        <v>133980</v>
      </c>
      <c r="P76" s="68">
        <v>133980</v>
      </c>
      <c r="Q76" s="100">
        <f t="shared" si="1"/>
        <v>1592136</v>
      </c>
    </row>
    <row r="77" spans="1:17">
      <c r="A77" s="65"/>
      <c r="B77" s="57" t="s">
        <v>135</v>
      </c>
      <c r="C77" s="66">
        <v>85203</v>
      </c>
      <c r="D77" s="67">
        <f>SUM(D78:D79)</f>
        <v>1598291</v>
      </c>
      <c r="E77" s="67">
        <f t="shared" ref="E77:P77" si="23">SUM(E78:E79)</f>
        <v>133140</v>
      </c>
      <c r="F77" s="67">
        <f t="shared" si="23"/>
        <v>133140</v>
      </c>
      <c r="G77" s="67">
        <f t="shared" si="23"/>
        <v>133325</v>
      </c>
      <c r="H77" s="67">
        <f t="shared" si="23"/>
        <v>133140</v>
      </c>
      <c r="I77" s="67">
        <f t="shared" si="23"/>
        <v>133195</v>
      </c>
      <c r="J77" s="67">
        <f t="shared" si="23"/>
        <v>133325</v>
      </c>
      <c r="K77" s="67">
        <f t="shared" si="23"/>
        <v>133140</v>
      </c>
      <c r="L77" s="67">
        <f t="shared" si="23"/>
        <v>133140</v>
      </c>
      <c r="M77" s="67">
        <f t="shared" si="23"/>
        <v>133326</v>
      </c>
      <c r="N77" s="67">
        <f t="shared" si="23"/>
        <v>133140</v>
      </c>
      <c r="O77" s="67">
        <f t="shared" si="23"/>
        <v>133140</v>
      </c>
      <c r="P77" s="67">
        <f t="shared" si="23"/>
        <v>133140</v>
      </c>
      <c r="Q77" s="100">
        <f t="shared" ref="Q77:Q112" si="24">SUM(E77:P77)</f>
        <v>1598291</v>
      </c>
    </row>
    <row r="78" spans="1:17">
      <c r="A78" s="65"/>
      <c r="B78" s="57" t="s">
        <v>89</v>
      </c>
      <c r="C78" s="66"/>
      <c r="D78" s="67">
        <f>556+55</f>
        <v>611</v>
      </c>
      <c r="E78" s="68"/>
      <c r="F78" s="69"/>
      <c r="G78" s="68">
        <v>185</v>
      </c>
      <c r="H78" s="69"/>
      <c r="I78" s="68">
        <v>55</v>
      </c>
      <c r="J78" s="69">
        <v>185</v>
      </c>
      <c r="K78" s="68"/>
      <c r="L78" s="69"/>
      <c r="M78" s="68">
        <v>186</v>
      </c>
      <c r="N78" s="69"/>
      <c r="O78" s="68"/>
      <c r="P78" s="68"/>
      <c r="Q78" s="100">
        <f t="shared" si="24"/>
        <v>611</v>
      </c>
    </row>
    <row r="79" spans="1:17">
      <c r="A79" s="65"/>
      <c r="B79" s="57" t="s">
        <v>90</v>
      </c>
      <c r="C79" s="66"/>
      <c r="D79" s="67">
        <v>1597680</v>
      </c>
      <c r="E79" s="68">
        <v>133140</v>
      </c>
      <c r="F79" s="69">
        <v>133140</v>
      </c>
      <c r="G79" s="68">
        <v>133140</v>
      </c>
      <c r="H79" s="69">
        <v>133140</v>
      </c>
      <c r="I79" s="68">
        <v>133140</v>
      </c>
      <c r="J79" s="69">
        <v>133140</v>
      </c>
      <c r="K79" s="68">
        <v>133140</v>
      </c>
      <c r="L79" s="69">
        <v>133140</v>
      </c>
      <c r="M79" s="68">
        <v>133140</v>
      </c>
      <c r="N79" s="69">
        <v>133140</v>
      </c>
      <c r="O79" s="68">
        <v>133140</v>
      </c>
      <c r="P79" s="68">
        <v>133140</v>
      </c>
      <c r="Q79" s="100">
        <f t="shared" si="24"/>
        <v>1597680</v>
      </c>
    </row>
    <row r="80" spans="1:17" s="4" customFormat="1">
      <c r="A80" s="65"/>
      <c r="B80" s="57" t="s">
        <v>233</v>
      </c>
      <c r="C80" s="66">
        <v>85205</v>
      </c>
      <c r="D80" s="67">
        <v>4230</v>
      </c>
      <c r="E80" s="68"/>
      <c r="F80" s="69"/>
      <c r="G80" s="68"/>
      <c r="H80" s="69">
        <v>4230</v>
      </c>
      <c r="I80" s="68"/>
      <c r="J80" s="69"/>
      <c r="K80" s="68"/>
      <c r="L80" s="69"/>
      <c r="M80" s="68"/>
      <c r="N80" s="69"/>
      <c r="O80" s="68"/>
      <c r="P80" s="68"/>
      <c r="Q80" s="100">
        <f t="shared" si="24"/>
        <v>4230</v>
      </c>
    </row>
    <row r="81" spans="1:17">
      <c r="A81" s="65"/>
      <c r="B81" s="57" t="s">
        <v>137</v>
      </c>
      <c r="C81" s="66">
        <v>85218</v>
      </c>
      <c r="D81" s="67">
        <v>187760</v>
      </c>
      <c r="E81" s="68">
        <v>41</v>
      </c>
      <c r="F81" s="69">
        <v>17800</v>
      </c>
      <c r="G81" s="68">
        <v>17800</v>
      </c>
      <c r="H81" s="69">
        <v>17800</v>
      </c>
      <c r="I81" s="68">
        <v>15100</v>
      </c>
      <c r="J81" s="69">
        <v>15100</v>
      </c>
      <c r="K81" s="68">
        <v>15100</v>
      </c>
      <c r="L81" s="69">
        <v>15100</v>
      </c>
      <c r="M81" s="68">
        <v>15100</v>
      </c>
      <c r="N81" s="69">
        <v>15400</v>
      </c>
      <c r="O81" s="68">
        <v>15600</v>
      </c>
      <c r="P81" s="68">
        <v>27819</v>
      </c>
      <c r="Q81" s="100">
        <f t="shared" si="24"/>
        <v>187760</v>
      </c>
    </row>
    <row r="82" spans="1:17">
      <c r="A82" s="64">
        <v>853</v>
      </c>
      <c r="B82" s="53" t="s">
        <v>138</v>
      </c>
      <c r="C82" s="54"/>
      <c r="D82" s="55">
        <f>SUM(D83+D86+D87+D88+D89)</f>
        <v>691762</v>
      </c>
      <c r="E82" s="55">
        <f t="shared" ref="E82:P82" si="25">SUM(E83+E86+E87+E88+E89)</f>
        <v>49421</v>
      </c>
      <c r="F82" s="55">
        <f t="shared" si="25"/>
        <v>56021</v>
      </c>
      <c r="G82" s="55">
        <f t="shared" si="25"/>
        <v>56063</v>
      </c>
      <c r="H82" s="55">
        <f t="shared" si="25"/>
        <v>56276</v>
      </c>
      <c r="I82" s="55">
        <f t="shared" si="25"/>
        <v>56296</v>
      </c>
      <c r="J82" s="55">
        <f t="shared" si="25"/>
        <v>71338</v>
      </c>
      <c r="K82" s="55">
        <f t="shared" si="25"/>
        <v>56296</v>
      </c>
      <c r="L82" s="55">
        <f t="shared" si="25"/>
        <v>56296</v>
      </c>
      <c r="M82" s="55">
        <f t="shared" si="25"/>
        <v>56337</v>
      </c>
      <c r="N82" s="55">
        <f t="shared" si="25"/>
        <v>56296</v>
      </c>
      <c r="O82" s="55">
        <f t="shared" si="25"/>
        <v>56846</v>
      </c>
      <c r="P82" s="55">
        <f t="shared" si="25"/>
        <v>64276</v>
      </c>
      <c r="Q82" s="100">
        <f t="shared" si="24"/>
        <v>691762</v>
      </c>
    </row>
    <row r="83" spans="1:17">
      <c r="A83" s="46"/>
      <c r="B83" s="57" t="s">
        <v>139</v>
      </c>
      <c r="C83" s="66">
        <v>85321</v>
      </c>
      <c r="D83" s="67">
        <f>SUM(D84:D85)</f>
        <v>175162</v>
      </c>
      <c r="E83" s="67">
        <f t="shared" ref="E83:P83" si="26">SUM(E84:E85)</f>
        <v>14588</v>
      </c>
      <c r="F83" s="67">
        <f t="shared" si="26"/>
        <v>14588</v>
      </c>
      <c r="G83" s="67">
        <f t="shared" si="26"/>
        <v>14630</v>
      </c>
      <c r="H83" s="67">
        <f t="shared" si="26"/>
        <v>14568</v>
      </c>
      <c r="I83" s="67">
        <f t="shared" si="26"/>
        <v>14588</v>
      </c>
      <c r="J83" s="67">
        <f t="shared" si="26"/>
        <v>14630</v>
      </c>
      <c r="K83" s="67">
        <f t="shared" si="26"/>
        <v>14588</v>
      </c>
      <c r="L83" s="67">
        <f t="shared" si="26"/>
        <v>14588</v>
      </c>
      <c r="M83" s="67">
        <f t="shared" si="26"/>
        <v>14629</v>
      </c>
      <c r="N83" s="67">
        <f t="shared" si="26"/>
        <v>14588</v>
      </c>
      <c r="O83" s="67">
        <f t="shared" si="26"/>
        <v>14588</v>
      </c>
      <c r="P83" s="67">
        <f t="shared" si="26"/>
        <v>14589</v>
      </c>
      <c r="Q83" s="100">
        <f t="shared" si="24"/>
        <v>175162</v>
      </c>
    </row>
    <row r="84" spans="1:17">
      <c r="A84" s="46"/>
      <c r="B84" s="57" t="s">
        <v>90</v>
      </c>
      <c r="C84" s="66"/>
      <c r="D84" s="67">
        <v>175037</v>
      </c>
      <c r="E84" s="59">
        <v>14588</v>
      </c>
      <c r="F84" s="60">
        <v>14588</v>
      </c>
      <c r="G84" s="59">
        <v>14588</v>
      </c>
      <c r="H84" s="60">
        <v>14568</v>
      </c>
      <c r="I84" s="59">
        <v>14588</v>
      </c>
      <c r="J84" s="60">
        <v>14588</v>
      </c>
      <c r="K84" s="59">
        <v>14588</v>
      </c>
      <c r="L84" s="60">
        <v>14588</v>
      </c>
      <c r="M84" s="59">
        <v>14588</v>
      </c>
      <c r="N84" s="60">
        <v>14588</v>
      </c>
      <c r="O84" s="59">
        <v>14588</v>
      </c>
      <c r="P84" s="59">
        <v>14589</v>
      </c>
      <c r="Q84" s="100">
        <f t="shared" si="24"/>
        <v>175037</v>
      </c>
    </row>
    <row r="85" spans="1:17">
      <c r="A85" s="46"/>
      <c r="B85" s="57" t="s">
        <v>89</v>
      </c>
      <c r="C85" s="66"/>
      <c r="D85" s="67">
        <v>125</v>
      </c>
      <c r="E85" s="59"/>
      <c r="F85" s="60"/>
      <c r="G85" s="59">
        <v>42</v>
      </c>
      <c r="H85" s="60"/>
      <c r="I85" s="59"/>
      <c r="J85" s="60">
        <v>42</v>
      </c>
      <c r="K85" s="59"/>
      <c r="L85" s="60"/>
      <c r="M85" s="59">
        <v>41</v>
      </c>
      <c r="N85" s="60"/>
      <c r="O85" s="59"/>
      <c r="P85" s="59"/>
      <c r="Q85" s="100">
        <f t="shared" si="24"/>
        <v>125</v>
      </c>
    </row>
    <row r="86" spans="1:17">
      <c r="A86" s="46"/>
      <c r="B86" s="57" t="s">
        <v>140</v>
      </c>
      <c r="C86" s="66">
        <v>85322</v>
      </c>
      <c r="D86" s="67">
        <v>379900</v>
      </c>
      <c r="E86" s="68">
        <v>31658</v>
      </c>
      <c r="F86" s="69">
        <v>31658</v>
      </c>
      <c r="G86" s="68">
        <v>31658</v>
      </c>
      <c r="H86" s="69">
        <v>31658</v>
      </c>
      <c r="I86" s="68">
        <v>31658</v>
      </c>
      <c r="J86" s="69">
        <v>31658</v>
      </c>
      <c r="K86" s="68">
        <v>31658</v>
      </c>
      <c r="L86" s="69">
        <v>31658</v>
      </c>
      <c r="M86" s="68">
        <v>31658</v>
      </c>
      <c r="N86" s="69">
        <v>31658</v>
      </c>
      <c r="O86" s="68">
        <v>31658</v>
      </c>
      <c r="P86" s="68">
        <v>31662</v>
      </c>
      <c r="Q86" s="100">
        <f t="shared" si="24"/>
        <v>379900</v>
      </c>
    </row>
    <row r="87" spans="1:17">
      <c r="A87" s="46"/>
      <c r="B87" s="57" t="s">
        <v>141</v>
      </c>
      <c r="C87" s="66">
        <v>85324</v>
      </c>
      <c r="D87" s="67">
        <v>38100</v>
      </c>
      <c r="E87" s="68">
        <v>3175</v>
      </c>
      <c r="F87" s="69">
        <v>3175</v>
      </c>
      <c r="G87" s="68">
        <v>3175</v>
      </c>
      <c r="H87" s="69">
        <v>3175</v>
      </c>
      <c r="I87" s="68">
        <v>3175</v>
      </c>
      <c r="J87" s="69">
        <v>3175</v>
      </c>
      <c r="K87" s="68">
        <v>3175</v>
      </c>
      <c r="L87" s="69">
        <v>3175</v>
      </c>
      <c r="M87" s="68">
        <v>3175</v>
      </c>
      <c r="N87" s="69">
        <v>3175</v>
      </c>
      <c r="O87" s="68">
        <v>3175</v>
      </c>
      <c r="P87" s="68">
        <v>3175</v>
      </c>
      <c r="Q87" s="100">
        <f t="shared" si="24"/>
        <v>38100</v>
      </c>
    </row>
    <row r="88" spans="1:17">
      <c r="A88" s="65"/>
      <c r="B88" s="57" t="s">
        <v>142</v>
      </c>
      <c r="C88" s="66">
        <v>85333</v>
      </c>
      <c r="D88" s="67">
        <v>83600</v>
      </c>
      <c r="E88" s="59"/>
      <c r="F88" s="60">
        <v>6600</v>
      </c>
      <c r="G88" s="59">
        <v>6600</v>
      </c>
      <c r="H88" s="60">
        <v>6875</v>
      </c>
      <c r="I88" s="59">
        <v>6875</v>
      </c>
      <c r="J88" s="60">
        <v>6875</v>
      </c>
      <c r="K88" s="59">
        <v>6875</v>
      </c>
      <c r="L88" s="60">
        <v>6875</v>
      </c>
      <c r="M88" s="59">
        <v>6875</v>
      </c>
      <c r="N88" s="60">
        <v>6875</v>
      </c>
      <c r="O88" s="59">
        <v>7425</v>
      </c>
      <c r="P88" s="59">
        <v>14850</v>
      </c>
      <c r="Q88" s="100">
        <f t="shared" si="24"/>
        <v>83600</v>
      </c>
    </row>
    <row r="89" spans="1:17" s="4" customFormat="1">
      <c r="A89" s="65"/>
      <c r="B89" s="57" t="s">
        <v>77</v>
      </c>
      <c r="C89" s="66">
        <v>85395</v>
      </c>
      <c r="D89" s="67">
        <v>15000</v>
      </c>
      <c r="E89" s="59"/>
      <c r="F89" s="60"/>
      <c r="G89" s="59"/>
      <c r="H89" s="60"/>
      <c r="I89" s="59"/>
      <c r="J89" s="60">
        <v>15000</v>
      </c>
      <c r="K89" s="59"/>
      <c r="L89" s="60"/>
      <c r="M89" s="59"/>
      <c r="N89" s="60"/>
      <c r="O89" s="59"/>
      <c r="P89" s="59"/>
      <c r="Q89" s="100">
        <f t="shared" si="24"/>
        <v>15000</v>
      </c>
    </row>
    <row r="90" spans="1:17">
      <c r="A90" s="64">
        <v>854</v>
      </c>
      <c r="B90" s="53" t="s">
        <v>143</v>
      </c>
      <c r="C90" s="54"/>
      <c r="D90" s="55">
        <f>SUM(D91+D92+D93+D96)</f>
        <v>445847</v>
      </c>
      <c r="E90" s="55">
        <f t="shared" ref="E90:P90" si="27">SUM(E91+E92+E93+E96)</f>
        <v>36657</v>
      </c>
      <c r="F90" s="55">
        <f t="shared" si="27"/>
        <v>41687</v>
      </c>
      <c r="G90" s="55">
        <f t="shared" si="27"/>
        <v>43587</v>
      </c>
      <c r="H90" s="55">
        <f t="shared" si="27"/>
        <v>36478</v>
      </c>
      <c r="I90" s="55">
        <f t="shared" si="27"/>
        <v>34372</v>
      </c>
      <c r="J90" s="55">
        <f t="shared" si="27"/>
        <v>34970</v>
      </c>
      <c r="K90" s="55">
        <f t="shared" si="27"/>
        <v>25988</v>
      </c>
      <c r="L90" s="55">
        <f t="shared" si="27"/>
        <v>36459</v>
      </c>
      <c r="M90" s="55">
        <f t="shared" si="27"/>
        <v>38907</v>
      </c>
      <c r="N90" s="55">
        <f t="shared" si="27"/>
        <v>40173</v>
      </c>
      <c r="O90" s="55">
        <f t="shared" si="27"/>
        <v>38126</v>
      </c>
      <c r="P90" s="55">
        <f t="shared" si="27"/>
        <v>38443</v>
      </c>
      <c r="Q90" s="100">
        <f t="shared" si="24"/>
        <v>445847</v>
      </c>
    </row>
    <row r="91" spans="1:17" s="36" customFormat="1">
      <c r="A91" s="65"/>
      <c r="B91" s="57" t="s">
        <v>144</v>
      </c>
      <c r="C91" s="66">
        <v>85406</v>
      </c>
      <c r="D91" s="58">
        <v>12114</v>
      </c>
      <c r="E91" s="67">
        <v>1600</v>
      </c>
      <c r="F91" s="173">
        <v>1900</v>
      </c>
      <c r="G91" s="67">
        <v>1400</v>
      </c>
      <c r="H91" s="173">
        <v>1200</v>
      </c>
      <c r="I91" s="67">
        <v>500</v>
      </c>
      <c r="J91" s="173">
        <v>500</v>
      </c>
      <c r="K91" s="67">
        <v>500</v>
      </c>
      <c r="L91" s="173">
        <v>500</v>
      </c>
      <c r="M91" s="67">
        <v>500</v>
      </c>
      <c r="N91" s="173">
        <v>500</v>
      </c>
      <c r="O91" s="67">
        <v>1200</v>
      </c>
      <c r="P91" s="67">
        <v>1814</v>
      </c>
      <c r="Q91" s="174">
        <f t="shared" si="24"/>
        <v>12114</v>
      </c>
    </row>
    <row r="92" spans="1:17">
      <c r="A92" s="65"/>
      <c r="B92" s="57" t="s">
        <v>145</v>
      </c>
      <c r="C92" s="66">
        <v>85407</v>
      </c>
      <c r="D92" s="67">
        <v>16955</v>
      </c>
      <c r="E92" s="59">
        <v>745</v>
      </c>
      <c r="F92" s="60">
        <v>100</v>
      </c>
      <c r="G92" s="59">
        <v>400</v>
      </c>
      <c r="H92" s="60">
        <v>945</v>
      </c>
      <c r="I92" s="59">
        <v>500</v>
      </c>
      <c r="J92" s="60">
        <v>1113</v>
      </c>
      <c r="K92" s="59">
        <v>13</v>
      </c>
      <c r="L92" s="60">
        <v>12000</v>
      </c>
      <c r="M92" s="59">
        <v>13</v>
      </c>
      <c r="N92" s="60">
        <v>13</v>
      </c>
      <c r="O92" s="59">
        <v>13</v>
      </c>
      <c r="P92" s="59">
        <v>1100</v>
      </c>
      <c r="Q92" s="100">
        <f t="shared" si="24"/>
        <v>16955</v>
      </c>
    </row>
    <row r="93" spans="1:17">
      <c r="A93" s="65"/>
      <c r="B93" s="57" t="s">
        <v>146</v>
      </c>
      <c r="C93" s="66">
        <v>85410</v>
      </c>
      <c r="D93" s="67">
        <f>SUM(D94:D95)</f>
        <v>377347</v>
      </c>
      <c r="E93" s="68">
        <f t="shared" ref="E93:P93" si="28">SUM(E94:E95)</f>
        <v>25819</v>
      </c>
      <c r="F93" s="69">
        <f t="shared" si="28"/>
        <v>38191</v>
      </c>
      <c r="G93" s="68">
        <f t="shared" si="28"/>
        <v>38191</v>
      </c>
      <c r="H93" s="69">
        <f t="shared" si="28"/>
        <v>30737</v>
      </c>
      <c r="I93" s="68">
        <f t="shared" si="28"/>
        <v>29576</v>
      </c>
      <c r="J93" s="69">
        <f t="shared" si="28"/>
        <v>29261</v>
      </c>
      <c r="K93" s="68">
        <f t="shared" si="28"/>
        <v>17879</v>
      </c>
      <c r="L93" s="69">
        <f t="shared" si="28"/>
        <v>17879</v>
      </c>
      <c r="M93" s="68">
        <f t="shared" si="28"/>
        <v>38198</v>
      </c>
      <c r="N93" s="69">
        <f t="shared" si="28"/>
        <v>39464</v>
      </c>
      <c r="O93" s="68">
        <f t="shared" si="28"/>
        <v>36717</v>
      </c>
      <c r="P93" s="68">
        <f t="shared" si="28"/>
        <v>35435</v>
      </c>
      <c r="Q93" s="100">
        <f t="shared" si="24"/>
        <v>377347</v>
      </c>
    </row>
    <row r="94" spans="1:17">
      <c r="A94" s="65"/>
      <c r="B94" s="57" t="s">
        <v>120</v>
      </c>
      <c r="C94" s="66"/>
      <c r="D94" s="58">
        <v>214547</v>
      </c>
      <c r="E94" s="59">
        <v>17879</v>
      </c>
      <c r="F94" s="60">
        <v>17879</v>
      </c>
      <c r="G94" s="68">
        <v>17879</v>
      </c>
      <c r="H94" s="69">
        <v>17879</v>
      </c>
      <c r="I94" s="68">
        <v>17879</v>
      </c>
      <c r="J94" s="69">
        <v>17879</v>
      </c>
      <c r="K94" s="68">
        <v>17879</v>
      </c>
      <c r="L94" s="69">
        <v>17879</v>
      </c>
      <c r="M94" s="68">
        <v>17879</v>
      </c>
      <c r="N94" s="69">
        <v>17879</v>
      </c>
      <c r="O94" s="68">
        <v>17879</v>
      </c>
      <c r="P94" s="68">
        <v>17878</v>
      </c>
      <c r="Q94" s="100">
        <f t="shared" si="24"/>
        <v>214547</v>
      </c>
    </row>
    <row r="95" spans="1:17">
      <c r="A95" s="65"/>
      <c r="B95" s="57" t="s">
        <v>121</v>
      </c>
      <c r="C95" s="66"/>
      <c r="D95" s="85">
        <v>162800</v>
      </c>
      <c r="E95" s="59">
        <v>7940</v>
      </c>
      <c r="F95" s="60">
        <v>20312</v>
      </c>
      <c r="G95" s="59">
        <v>20312</v>
      </c>
      <c r="H95" s="60">
        <v>12858</v>
      </c>
      <c r="I95" s="59">
        <v>11697</v>
      </c>
      <c r="J95" s="60">
        <v>11382</v>
      </c>
      <c r="K95" s="59"/>
      <c r="L95" s="60"/>
      <c r="M95" s="59">
        <v>20319</v>
      </c>
      <c r="N95" s="60">
        <v>21585</v>
      </c>
      <c r="O95" s="59">
        <v>18838</v>
      </c>
      <c r="P95" s="59">
        <v>17557</v>
      </c>
      <c r="Q95" s="100">
        <f t="shared" si="24"/>
        <v>162800</v>
      </c>
    </row>
    <row r="96" spans="1:17">
      <c r="A96" s="65"/>
      <c r="B96" s="57" t="s">
        <v>147</v>
      </c>
      <c r="C96" s="66">
        <v>85417</v>
      </c>
      <c r="D96" s="67">
        <f>SUM(D97:D99)</f>
        <v>39431</v>
      </c>
      <c r="E96" s="68">
        <f t="shared" ref="E96:P96" si="29">SUM(E97:E99)</f>
        <v>8493</v>
      </c>
      <c r="F96" s="69">
        <f t="shared" si="29"/>
        <v>1496</v>
      </c>
      <c r="G96" s="68">
        <f t="shared" si="29"/>
        <v>3596</v>
      </c>
      <c r="H96" s="69">
        <f t="shared" si="29"/>
        <v>3596</v>
      </c>
      <c r="I96" s="68">
        <f t="shared" si="29"/>
        <v>3796</v>
      </c>
      <c r="J96" s="69">
        <f t="shared" si="29"/>
        <v>4096</v>
      </c>
      <c r="K96" s="68">
        <f t="shared" si="29"/>
        <v>7596</v>
      </c>
      <c r="L96" s="69">
        <f t="shared" si="29"/>
        <v>6080</v>
      </c>
      <c r="M96" s="68">
        <f t="shared" si="29"/>
        <v>196</v>
      </c>
      <c r="N96" s="69">
        <f t="shared" si="29"/>
        <v>196</v>
      </c>
      <c r="O96" s="68">
        <f t="shared" si="29"/>
        <v>196</v>
      </c>
      <c r="P96" s="68">
        <f t="shared" si="29"/>
        <v>94</v>
      </c>
      <c r="Q96" s="100">
        <f t="shared" si="24"/>
        <v>39431</v>
      </c>
    </row>
    <row r="97" spans="1:17">
      <c r="A97" s="65"/>
      <c r="B97" s="57" t="s">
        <v>148</v>
      </c>
      <c r="C97" s="66"/>
      <c r="D97" s="58">
        <v>35281</v>
      </c>
      <c r="E97" s="59">
        <v>8397</v>
      </c>
      <c r="F97" s="60">
        <v>1400</v>
      </c>
      <c r="G97" s="59">
        <v>3500</v>
      </c>
      <c r="H97" s="60">
        <v>3500</v>
      </c>
      <c r="I97" s="59">
        <v>3500</v>
      </c>
      <c r="J97" s="60">
        <v>3500</v>
      </c>
      <c r="K97" s="59">
        <v>6500</v>
      </c>
      <c r="L97" s="60">
        <v>4984</v>
      </c>
      <c r="M97" s="59"/>
      <c r="N97" s="60"/>
      <c r="O97" s="59"/>
      <c r="P97" s="59"/>
      <c r="Q97" s="100">
        <f t="shared" si="24"/>
        <v>35281</v>
      </c>
    </row>
    <row r="98" spans="1:17" s="4" customFormat="1">
      <c r="A98" s="65"/>
      <c r="B98" s="57" t="s">
        <v>120</v>
      </c>
      <c r="C98" s="66"/>
      <c r="D98" s="58">
        <v>1150</v>
      </c>
      <c r="E98" s="59">
        <v>96</v>
      </c>
      <c r="F98" s="60">
        <v>96</v>
      </c>
      <c r="G98" s="59">
        <v>96</v>
      </c>
      <c r="H98" s="60">
        <v>96</v>
      </c>
      <c r="I98" s="59">
        <v>96</v>
      </c>
      <c r="J98" s="60">
        <v>96</v>
      </c>
      <c r="K98" s="59">
        <v>96</v>
      </c>
      <c r="L98" s="60">
        <v>96</v>
      </c>
      <c r="M98" s="59">
        <v>96</v>
      </c>
      <c r="N98" s="60">
        <v>96</v>
      </c>
      <c r="O98" s="59">
        <v>96</v>
      </c>
      <c r="P98" s="59">
        <v>94</v>
      </c>
      <c r="Q98" s="100">
        <f t="shared" si="24"/>
        <v>1150</v>
      </c>
    </row>
    <row r="99" spans="1:17">
      <c r="A99" s="65"/>
      <c r="B99" s="57" t="s">
        <v>121</v>
      </c>
      <c r="C99" s="66"/>
      <c r="D99" s="58">
        <v>3000</v>
      </c>
      <c r="E99" s="59"/>
      <c r="F99" s="60"/>
      <c r="G99" s="59"/>
      <c r="H99" s="60"/>
      <c r="I99" s="59">
        <v>200</v>
      </c>
      <c r="J99" s="60">
        <v>500</v>
      </c>
      <c r="K99" s="59">
        <v>1000</v>
      </c>
      <c r="L99" s="60">
        <v>1000</v>
      </c>
      <c r="M99" s="59">
        <v>100</v>
      </c>
      <c r="N99" s="60">
        <v>100</v>
      </c>
      <c r="O99" s="59">
        <v>100</v>
      </c>
      <c r="P99" s="59"/>
      <c r="Q99" s="100">
        <f t="shared" si="24"/>
        <v>3000</v>
      </c>
    </row>
    <row r="100" spans="1:17" s="4" customFormat="1">
      <c r="A100" s="109">
        <v>855</v>
      </c>
      <c r="B100" s="74" t="s">
        <v>160</v>
      </c>
      <c r="C100" s="75"/>
      <c r="D100" s="110">
        <f>SUM(D101+D104)</f>
        <v>1315358</v>
      </c>
      <c r="E100" s="110">
        <f t="shared" ref="E100:P100" si="30">SUM(E101+E104)</f>
        <v>159000</v>
      </c>
      <c r="F100" s="110">
        <f t="shared" si="30"/>
        <v>98156</v>
      </c>
      <c r="G100" s="110">
        <f t="shared" si="30"/>
        <v>105606</v>
      </c>
      <c r="H100" s="110">
        <f t="shared" si="30"/>
        <v>106595</v>
      </c>
      <c r="I100" s="110">
        <f t="shared" si="30"/>
        <v>106595</v>
      </c>
      <c r="J100" s="110">
        <f t="shared" si="30"/>
        <v>106595</v>
      </c>
      <c r="K100" s="110">
        <f t="shared" si="30"/>
        <v>106595</v>
      </c>
      <c r="L100" s="110">
        <f t="shared" si="30"/>
        <v>106595</v>
      </c>
      <c r="M100" s="110">
        <f t="shared" si="30"/>
        <v>106595</v>
      </c>
      <c r="N100" s="110">
        <f t="shared" si="30"/>
        <v>106595</v>
      </c>
      <c r="O100" s="110">
        <f t="shared" si="30"/>
        <v>106595</v>
      </c>
      <c r="P100" s="110">
        <f t="shared" si="30"/>
        <v>99836</v>
      </c>
      <c r="Q100" s="100">
        <f t="shared" si="24"/>
        <v>1315358</v>
      </c>
    </row>
    <row r="101" spans="1:17" s="4" customFormat="1">
      <c r="A101" s="65"/>
      <c r="B101" s="57" t="s">
        <v>136</v>
      </c>
      <c r="C101" s="66">
        <v>85508</v>
      </c>
      <c r="D101" s="58">
        <f>SUM(D102:D103)</f>
        <v>797367</v>
      </c>
      <c r="E101" s="58">
        <f t="shared" ref="E101:P101" si="31">SUM(E102:E103)</f>
        <v>56429</v>
      </c>
      <c r="F101" s="58">
        <f t="shared" si="31"/>
        <v>70640</v>
      </c>
      <c r="G101" s="58">
        <f t="shared" si="31"/>
        <v>68816</v>
      </c>
      <c r="H101" s="58">
        <f t="shared" si="31"/>
        <v>69805</v>
      </c>
      <c r="I101" s="58">
        <f t="shared" si="31"/>
        <v>69805</v>
      </c>
      <c r="J101" s="58">
        <f t="shared" si="31"/>
        <v>69805</v>
      </c>
      <c r="K101" s="58">
        <f t="shared" si="31"/>
        <v>69805</v>
      </c>
      <c r="L101" s="58">
        <f t="shared" si="31"/>
        <v>69805</v>
      </c>
      <c r="M101" s="58">
        <f t="shared" si="31"/>
        <v>69805</v>
      </c>
      <c r="N101" s="58">
        <f t="shared" si="31"/>
        <v>69805</v>
      </c>
      <c r="O101" s="58">
        <f t="shared" si="31"/>
        <v>69805</v>
      </c>
      <c r="P101" s="58">
        <f t="shared" si="31"/>
        <v>43042</v>
      </c>
      <c r="Q101" s="100">
        <f t="shared" si="24"/>
        <v>797367</v>
      </c>
    </row>
    <row r="102" spans="1:17" s="4" customFormat="1">
      <c r="A102" s="65"/>
      <c r="B102" s="106" t="s">
        <v>164</v>
      </c>
      <c r="C102" s="66"/>
      <c r="D102" s="58">
        <v>315866</v>
      </c>
      <c r="E102" s="59">
        <v>13520</v>
      </c>
      <c r="F102" s="60">
        <v>27486</v>
      </c>
      <c r="G102" s="59">
        <v>27486</v>
      </c>
      <c r="H102" s="60">
        <v>27486</v>
      </c>
      <c r="I102" s="59">
        <v>27486</v>
      </c>
      <c r="J102" s="60">
        <v>27486</v>
      </c>
      <c r="K102" s="59">
        <v>27486</v>
      </c>
      <c r="L102" s="60">
        <v>27486</v>
      </c>
      <c r="M102" s="59">
        <v>27486</v>
      </c>
      <c r="N102" s="60">
        <v>27486</v>
      </c>
      <c r="O102" s="59">
        <v>27486</v>
      </c>
      <c r="P102" s="59">
        <v>27486</v>
      </c>
      <c r="Q102" s="100">
        <f t="shared" si="24"/>
        <v>315866</v>
      </c>
    </row>
    <row r="103" spans="1:17" s="4" customFormat="1">
      <c r="A103" s="65"/>
      <c r="B103" s="106" t="s">
        <v>165</v>
      </c>
      <c r="C103" s="66"/>
      <c r="D103" s="58">
        <v>481501</v>
      </c>
      <c r="E103" s="59">
        <v>42909</v>
      </c>
      <c r="F103" s="60">
        <v>43154</v>
      </c>
      <c r="G103" s="59">
        <v>41330</v>
      </c>
      <c r="H103" s="60">
        <v>42319</v>
      </c>
      <c r="I103" s="59">
        <v>42319</v>
      </c>
      <c r="J103" s="60">
        <v>42319</v>
      </c>
      <c r="K103" s="59">
        <v>42319</v>
      </c>
      <c r="L103" s="60">
        <v>42319</v>
      </c>
      <c r="M103" s="59">
        <v>42319</v>
      </c>
      <c r="N103" s="60">
        <v>42319</v>
      </c>
      <c r="O103" s="59">
        <v>42319</v>
      </c>
      <c r="P103" s="59">
        <v>15556</v>
      </c>
      <c r="Q103" s="100">
        <f t="shared" si="24"/>
        <v>481501</v>
      </c>
    </row>
    <row r="104" spans="1:17" s="4" customFormat="1">
      <c r="A104" s="65"/>
      <c r="B104" s="57" t="s">
        <v>161</v>
      </c>
      <c r="C104" s="66">
        <v>85510</v>
      </c>
      <c r="D104" s="112">
        <f>SUM(D105:D106)</f>
        <v>517991</v>
      </c>
      <c r="E104" s="112">
        <f t="shared" ref="E104:P104" si="32">SUM(E105:E106)</f>
        <v>102571</v>
      </c>
      <c r="F104" s="112">
        <f t="shared" si="32"/>
        <v>27516</v>
      </c>
      <c r="G104" s="112">
        <f t="shared" si="32"/>
        <v>36790</v>
      </c>
      <c r="H104" s="112">
        <f t="shared" si="32"/>
        <v>36790</v>
      </c>
      <c r="I104" s="112">
        <f t="shared" si="32"/>
        <v>36790</v>
      </c>
      <c r="J104" s="112">
        <f t="shared" si="32"/>
        <v>36790</v>
      </c>
      <c r="K104" s="112">
        <f t="shared" si="32"/>
        <v>36790</v>
      </c>
      <c r="L104" s="112">
        <f t="shared" si="32"/>
        <v>36790</v>
      </c>
      <c r="M104" s="112">
        <f t="shared" si="32"/>
        <v>36790</v>
      </c>
      <c r="N104" s="112">
        <f t="shared" si="32"/>
        <v>36790</v>
      </c>
      <c r="O104" s="112">
        <f t="shared" si="32"/>
        <v>36790</v>
      </c>
      <c r="P104" s="112">
        <f t="shared" si="32"/>
        <v>56794</v>
      </c>
      <c r="Q104" s="100">
        <f>SUM(E104:P104)</f>
        <v>517991</v>
      </c>
    </row>
    <row r="105" spans="1:17" s="4" customFormat="1">
      <c r="A105" s="65"/>
      <c r="B105" s="106" t="s">
        <v>162</v>
      </c>
      <c r="C105" s="66"/>
      <c r="D105" s="58">
        <v>93283</v>
      </c>
      <c r="E105" s="59">
        <v>93283</v>
      </c>
      <c r="F105" s="60"/>
      <c r="G105" s="59"/>
      <c r="H105" s="60"/>
      <c r="I105" s="59"/>
      <c r="J105" s="60"/>
      <c r="K105" s="59"/>
      <c r="L105" s="60"/>
      <c r="M105" s="59"/>
      <c r="N105" s="60"/>
      <c r="O105" s="59"/>
      <c r="P105" s="59"/>
      <c r="Q105" s="100">
        <f t="shared" ref="Q105:Q107" si="33">SUM(E105:P105)</f>
        <v>93283</v>
      </c>
    </row>
    <row r="106" spans="1:17" s="4" customFormat="1">
      <c r="A106" s="65"/>
      <c r="B106" s="106" t="s">
        <v>163</v>
      </c>
      <c r="C106" s="66"/>
      <c r="D106" s="58">
        <v>424708</v>
      </c>
      <c r="E106" s="59">
        <v>9288</v>
      </c>
      <c r="F106" s="60">
        <v>27516</v>
      </c>
      <c r="G106" s="59">
        <f>34565+2225</f>
        <v>36790</v>
      </c>
      <c r="H106" s="60">
        <f t="shared" ref="H106:O106" si="34">2225+34565</f>
        <v>36790</v>
      </c>
      <c r="I106" s="59">
        <f t="shared" si="34"/>
        <v>36790</v>
      </c>
      <c r="J106" s="60">
        <f t="shared" si="34"/>
        <v>36790</v>
      </c>
      <c r="K106" s="59">
        <f t="shared" si="34"/>
        <v>36790</v>
      </c>
      <c r="L106" s="60">
        <f t="shared" si="34"/>
        <v>36790</v>
      </c>
      <c r="M106" s="59">
        <f t="shared" si="34"/>
        <v>36790</v>
      </c>
      <c r="N106" s="60">
        <f t="shared" si="34"/>
        <v>36790</v>
      </c>
      <c r="O106" s="59">
        <f t="shared" si="34"/>
        <v>36790</v>
      </c>
      <c r="P106" s="59">
        <f>54569+2225</f>
        <v>56794</v>
      </c>
      <c r="Q106" s="100">
        <f t="shared" si="33"/>
        <v>424708</v>
      </c>
    </row>
    <row r="107" spans="1:17">
      <c r="A107" s="64">
        <v>900</v>
      </c>
      <c r="B107" s="53" t="s">
        <v>149</v>
      </c>
      <c r="C107" s="54"/>
      <c r="D107" s="55">
        <f>SUM(D108)</f>
        <v>122680</v>
      </c>
      <c r="E107" s="55">
        <f t="shared" ref="E107:P107" si="35">SUM(E108)</f>
        <v>10200</v>
      </c>
      <c r="F107" s="56">
        <f t="shared" si="35"/>
        <v>10200</v>
      </c>
      <c r="G107" s="55">
        <f t="shared" si="35"/>
        <v>10200</v>
      </c>
      <c r="H107" s="56">
        <f t="shared" si="35"/>
        <v>10200</v>
      </c>
      <c r="I107" s="55">
        <f t="shared" si="35"/>
        <v>10200</v>
      </c>
      <c r="J107" s="56">
        <f t="shared" si="35"/>
        <v>10200</v>
      </c>
      <c r="K107" s="55">
        <f t="shared" si="35"/>
        <v>10200</v>
      </c>
      <c r="L107" s="56">
        <f t="shared" si="35"/>
        <v>10200</v>
      </c>
      <c r="M107" s="55">
        <f t="shared" si="35"/>
        <v>10200</v>
      </c>
      <c r="N107" s="56">
        <f t="shared" si="35"/>
        <v>10200</v>
      </c>
      <c r="O107" s="55">
        <f t="shared" si="35"/>
        <v>10200</v>
      </c>
      <c r="P107" s="55">
        <f t="shared" si="35"/>
        <v>10480</v>
      </c>
      <c r="Q107" s="100">
        <f t="shared" si="33"/>
        <v>122680</v>
      </c>
    </row>
    <row r="108" spans="1:17">
      <c r="A108" s="65"/>
      <c r="B108" s="57" t="s">
        <v>150</v>
      </c>
      <c r="C108" s="66">
        <v>90019</v>
      </c>
      <c r="D108" s="58">
        <v>122680</v>
      </c>
      <c r="E108" s="59">
        <v>10200</v>
      </c>
      <c r="F108" s="60">
        <v>10200</v>
      </c>
      <c r="G108" s="59">
        <v>10200</v>
      </c>
      <c r="H108" s="60">
        <v>10200</v>
      </c>
      <c r="I108" s="59">
        <v>10200</v>
      </c>
      <c r="J108" s="60">
        <v>10200</v>
      </c>
      <c r="K108" s="59">
        <v>10200</v>
      </c>
      <c r="L108" s="60">
        <v>10200</v>
      </c>
      <c r="M108" s="59">
        <v>10200</v>
      </c>
      <c r="N108" s="60">
        <v>10200</v>
      </c>
      <c r="O108" s="59">
        <v>10200</v>
      </c>
      <c r="P108" s="59">
        <v>10480</v>
      </c>
      <c r="Q108" s="100">
        <f t="shared" si="24"/>
        <v>122680</v>
      </c>
    </row>
    <row r="109" spans="1:17">
      <c r="A109" s="86"/>
      <c r="B109" s="87" t="s">
        <v>151</v>
      </c>
      <c r="C109" s="88"/>
      <c r="D109" s="89">
        <f>SUM(D107+D90+D82+D72+D68+D53+D48+D44+D39+D33+D27+D23+D19+D17+D15+D12+D42+D100)</f>
        <v>71803046</v>
      </c>
      <c r="E109" s="89">
        <f t="shared" ref="E109:P109" si="36">SUM(E107+E90+E82+E72+E68+E53+E48+E44+E39+E33+E27+E23+E19+E17+E15+E12+E42+E100)</f>
        <v>8478637</v>
      </c>
      <c r="F109" s="89">
        <f t="shared" si="36"/>
        <v>8030814</v>
      </c>
      <c r="G109" s="89">
        <f t="shared" si="36"/>
        <v>5601528</v>
      </c>
      <c r="H109" s="89">
        <f t="shared" si="36"/>
        <v>5669012</v>
      </c>
      <c r="I109" s="89">
        <f t="shared" si="36"/>
        <v>5531996</v>
      </c>
      <c r="J109" s="89">
        <f t="shared" si="36"/>
        <v>5417854</v>
      </c>
      <c r="K109" s="89">
        <f t="shared" si="36"/>
        <v>5503821</v>
      </c>
      <c r="L109" s="89">
        <f t="shared" si="36"/>
        <v>5626305</v>
      </c>
      <c r="M109" s="89">
        <f t="shared" si="36"/>
        <v>5630219</v>
      </c>
      <c r="N109" s="89">
        <f t="shared" si="36"/>
        <v>5713660</v>
      </c>
      <c r="O109" s="89">
        <f t="shared" si="36"/>
        <v>5734608</v>
      </c>
      <c r="P109" s="89">
        <f t="shared" si="36"/>
        <v>4864592</v>
      </c>
      <c r="Q109" s="100">
        <f>SUM(E109:P109)</f>
        <v>71803046</v>
      </c>
    </row>
    <row r="110" spans="1:17" hidden="1">
      <c r="A110" s="65"/>
      <c r="B110" s="90" t="s">
        <v>152</v>
      </c>
      <c r="C110" s="66"/>
      <c r="D110" s="91">
        <f t="shared" ref="D110:P110" si="37">SUM(D111:D111)</f>
        <v>5324845</v>
      </c>
      <c r="E110" s="92">
        <f t="shared" si="37"/>
        <v>0</v>
      </c>
      <c r="F110" s="93">
        <f t="shared" si="37"/>
        <v>0</v>
      </c>
      <c r="G110" s="92">
        <f t="shared" si="37"/>
        <v>0</v>
      </c>
      <c r="H110" s="93">
        <f t="shared" si="37"/>
        <v>0</v>
      </c>
      <c r="I110" s="92">
        <f t="shared" si="37"/>
        <v>0</v>
      </c>
      <c r="J110" s="93">
        <f t="shared" si="37"/>
        <v>0</v>
      </c>
      <c r="K110" s="92">
        <f t="shared" si="37"/>
        <v>0</v>
      </c>
      <c r="L110" s="93">
        <f t="shared" si="37"/>
        <v>0</v>
      </c>
      <c r="M110" s="92">
        <f t="shared" si="37"/>
        <v>1774948</v>
      </c>
      <c r="N110" s="93">
        <f t="shared" si="37"/>
        <v>1774948</v>
      </c>
      <c r="O110" s="92">
        <f t="shared" si="37"/>
        <v>1774949</v>
      </c>
      <c r="P110" s="92">
        <f t="shared" si="37"/>
        <v>0</v>
      </c>
      <c r="Q110" s="100">
        <f t="shared" si="24"/>
        <v>5324845</v>
      </c>
    </row>
    <row r="111" spans="1:17" hidden="1">
      <c r="A111" s="65"/>
      <c r="B111" s="57" t="s">
        <v>153</v>
      </c>
      <c r="C111" s="94">
        <v>952</v>
      </c>
      <c r="D111" s="67">
        <v>5324845</v>
      </c>
      <c r="E111" s="68"/>
      <c r="F111" s="69"/>
      <c r="G111" s="68"/>
      <c r="H111" s="69"/>
      <c r="I111" s="68"/>
      <c r="J111" s="69"/>
      <c r="K111" s="68"/>
      <c r="L111" s="69"/>
      <c r="M111" s="68">
        <v>1774948</v>
      </c>
      <c r="N111" s="69">
        <v>1774948</v>
      </c>
      <c r="O111" s="68">
        <v>1774949</v>
      </c>
      <c r="P111" s="68"/>
      <c r="Q111" s="100">
        <f t="shared" si="24"/>
        <v>5324845</v>
      </c>
    </row>
    <row r="112" spans="1:17" ht="15.75" hidden="1" thickBot="1">
      <c r="A112" s="95"/>
      <c r="B112" s="96" t="s">
        <v>154</v>
      </c>
      <c r="C112" s="97"/>
      <c r="D112" s="98">
        <f t="shared" ref="D112:P112" si="38">SUM(D109,D110)</f>
        <v>77127891</v>
      </c>
      <c r="E112" s="98">
        <f t="shared" si="38"/>
        <v>8478637</v>
      </c>
      <c r="F112" s="99">
        <f t="shared" si="38"/>
        <v>8030814</v>
      </c>
      <c r="G112" s="98">
        <f t="shared" si="38"/>
        <v>5601528</v>
      </c>
      <c r="H112" s="99">
        <f t="shared" si="38"/>
        <v>5669012</v>
      </c>
      <c r="I112" s="98">
        <f t="shared" si="38"/>
        <v>5531996</v>
      </c>
      <c r="J112" s="99">
        <f t="shared" si="38"/>
        <v>5417854</v>
      </c>
      <c r="K112" s="98">
        <f t="shared" si="38"/>
        <v>5503821</v>
      </c>
      <c r="L112" s="99">
        <f t="shared" si="38"/>
        <v>5626305</v>
      </c>
      <c r="M112" s="98">
        <f t="shared" si="38"/>
        <v>7405167</v>
      </c>
      <c r="N112" s="99">
        <f t="shared" si="38"/>
        <v>7488608</v>
      </c>
      <c r="O112" s="98">
        <f t="shared" si="38"/>
        <v>7509557</v>
      </c>
      <c r="P112" s="98">
        <f t="shared" si="38"/>
        <v>4864592</v>
      </c>
      <c r="Q112" s="100">
        <f t="shared" si="24"/>
        <v>77127891</v>
      </c>
    </row>
  </sheetData>
  <mergeCells count="18">
    <mergeCell ref="L8:L10"/>
    <mergeCell ref="F8:F10"/>
    <mergeCell ref="A6:P6"/>
    <mergeCell ref="A7:P7"/>
    <mergeCell ref="A8:A10"/>
    <mergeCell ref="B8:B10"/>
    <mergeCell ref="C8:C10"/>
    <mergeCell ref="D8:D10"/>
    <mergeCell ref="E8:E10"/>
    <mergeCell ref="M8:M10"/>
    <mergeCell ref="N8:N10"/>
    <mergeCell ref="O8:O10"/>
    <mergeCell ref="P8:P10"/>
    <mergeCell ref="G8:G10"/>
    <mergeCell ref="H8:H10"/>
    <mergeCell ref="I8:I10"/>
    <mergeCell ref="J8:J10"/>
    <mergeCell ref="K8:K10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8"/>
  <sheetViews>
    <sheetView topLeftCell="A122" workbookViewId="0">
      <selection sqref="A1:P145"/>
    </sheetView>
  </sheetViews>
  <sheetFormatPr defaultRowHeight="15"/>
  <cols>
    <col min="1" max="1" width="5.42578125" style="161" customWidth="1"/>
    <col min="2" max="2" width="26" style="161" customWidth="1"/>
    <col min="3" max="3" width="9.140625" style="161"/>
    <col min="17" max="17" width="10.7109375" hidden="1" customWidth="1"/>
  </cols>
  <sheetData>
    <row r="1" spans="1:17">
      <c r="A1" s="135"/>
      <c r="B1" s="135"/>
      <c r="C1" s="135"/>
      <c r="D1" s="4"/>
      <c r="E1" s="4"/>
      <c r="F1" s="4"/>
      <c r="G1" s="4"/>
      <c r="H1" s="4"/>
      <c r="I1" s="4"/>
      <c r="J1" s="4"/>
      <c r="K1" s="4"/>
      <c r="L1" s="6" t="s">
        <v>205</v>
      </c>
      <c r="M1" s="4"/>
      <c r="N1" s="113"/>
      <c r="O1" s="113"/>
      <c r="P1" s="113"/>
    </row>
    <row r="2" spans="1:17">
      <c r="A2" s="135"/>
      <c r="B2" s="135"/>
      <c r="C2" s="135"/>
      <c r="D2" s="4"/>
      <c r="E2" s="4"/>
      <c r="F2" s="4"/>
      <c r="G2" s="4"/>
      <c r="H2" s="4"/>
      <c r="I2" s="4"/>
      <c r="J2" s="4"/>
      <c r="K2" s="4"/>
      <c r="L2" s="5" t="s">
        <v>0</v>
      </c>
      <c r="M2" s="4"/>
      <c r="N2" s="114"/>
      <c r="O2" s="114"/>
      <c r="P2" s="114"/>
    </row>
    <row r="3" spans="1:17">
      <c r="A3" s="135"/>
      <c r="B3" s="135"/>
      <c r="C3" s="135"/>
      <c r="D3" s="4"/>
      <c r="E3" s="4"/>
      <c r="F3" s="4"/>
      <c r="G3" s="4"/>
      <c r="H3" s="4"/>
      <c r="I3" s="4"/>
      <c r="J3" s="4"/>
      <c r="K3" s="4"/>
      <c r="L3" s="5" t="s">
        <v>1</v>
      </c>
      <c r="M3" s="4"/>
      <c r="N3" s="114"/>
      <c r="O3" s="114"/>
      <c r="P3" s="114"/>
    </row>
    <row r="4" spans="1:17">
      <c r="A4" s="135"/>
      <c r="B4" s="135"/>
      <c r="C4" s="135"/>
      <c r="D4" s="4"/>
      <c r="E4" s="4"/>
      <c r="F4" s="4"/>
      <c r="G4" s="4"/>
      <c r="H4" s="4"/>
      <c r="I4" s="4"/>
      <c r="J4" s="4"/>
      <c r="K4" s="4"/>
      <c r="L4" s="5" t="s">
        <v>2</v>
      </c>
      <c r="M4" s="4"/>
      <c r="N4" s="115"/>
      <c r="O4" s="115"/>
      <c r="P4" s="115"/>
    </row>
    <row r="5" spans="1:17">
      <c r="A5" s="135"/>
      <c r="B5" s="135"/>
      <c r="C5" s="135"/>
      <c r="D5" s="4"/>
      <c r="E5" s="4"/>
      <c r="F5" s="4"/>
      <c r="G5" s="4"/>
      <c r="H5" s="4"/>
      <c r="I5" s="4"/>
      <c r="J5" s="4"/>
      <c r="K5" s="4"/>
      <c r="L5" s="4"/>
      <c r="M5" s="116"/>
      <c r="N5" s="116"/>
      <c r="O5" s="116"/>
      <c r="P5" s="116"/>
    </row>
    <row r="6" spans="1:17">
      <c r="A6" s="275" t="s">
        <v>206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</row>
    <row r="7" spans="1:17" ht="15.75" thickBot="1">
      <c r="A7" s="276" t="s">
        <v>166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</row>
    <row r="8" spans="1:17" ht="15" customHeight="1">
      <c r="A8" s="277" t="s">
        <v>60</v>
      </c>
      <c r="B8" s="277" t="s">
        <v>61</v>
      </c>
      <c r="C8" s="277" t="s">
        <v>62</v>
      </c>
      <c r="D8" s="280" t="s">
        <v>207</v>
      </c>
      <c r="E8" s="272" t="s">
        <v>63</v>
      </c>
      <c r="F8" s="272" t="s">
        <v>64</v>
      </c>
      <c r="G8" s="272" t="s">
        <v>65</v>
      </c>
      <c r="H8" s="272" t="s">
        <v>66</v>
      </c>
      <c r="I8" s="272" t="s">
        <v>67</v>
      </c>
      <c r="J8" s="272" t="s">
        <v>68</v>
      </c>
      <c r="K8" s="272" t="s">
        <v>69</v>
      </c>
      <c r="L8" s="272" t="s">
        <v>70</v>
      </c>
      <c r="M8" s="272" t="s">
        <v>71</v>
      </c>
      <c r="N8" s="272" t="s">
        <v>72</v>
      </c>
      <c r="O8" s="272" t="s">
        <v>73</v>
      </c>
      <c r="P8" s="272" t="s">
        <v>74</v>
      </c>
    </row>
    <row r="9" spans="1:17">
      <c r="A9" s="278"/>
      <c r="B9" s="278"/>
      <c r="C9" s="278"/>
      <c r="D9" s="281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</row>
    <row r="10" spans="1:17" ht="15.75" thickBot="1">
      <c r="A10" s="279"/>
      <c r="B10" s="279"/>
      <c r="C10" s="279"/>
      <c r="D10" s="282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7" ht="15.75" thickBot="1">
      <c r="A11" s="136">
        <v>1</v>
      </c>
      <c r="B11" s="137">
        <v>2</v>
      </c>
      <c r="C11" s="138">
        <v>3</v>
      </c>
      <c r="D11" s="117">
        <v>4</v>
      </c>
      <c r="E11" s="118">
        <v>5</v>
      </c>
      <c r="F11" s="119">
        <v>6</v>
      </c>
      <c r="G11" s="118">
        <v>7</v>
      </c>
      <c r="H11" s="119">
        <v>8</v>
      </c>
      <c r="I11" s="118">
        <v>9</v>
      </c>
      <c r="J11" s="119">
        <v>10</v>
      </c>
      <c r="K11" s="118">
        <v>11</v>
      </c>
      <c r="L11" s="119">
        <v>12</v>
      </c>
      <c r="M11" s="118">
        <v>13</v>
      </c>
      <c r="N11" s="119">
        <v>14</v>
      </c>
      <c r="O11" s="118">
        <v>15</v>
      </c>
      <c r="P11" s="118">
        <v>16</v>
      </c>
    </row>
    <row r="12" spans="1:17">
      <c r="A12" s="139" t="s">
        <v>75</v>
      </c>
      <c r="B12" s="140" t="s">
        <v>76</v>
      </c>
      <c r="C12" s="141"/>
      <c r="D12" s="120">
        <f>SUM(D13:D14)</f>
        <v>81000</v>
      </c>
      <c r="E12" s="120">
        <f t="shared" ref="E12" si="0">SUM(E13:E14)</f>
        <v>0</v>
      </c>
      <c r="F12" s="120">
        <f t="shared" ref="F12:P12" si="1">SUM(F13:F14)</f>
        <v>2404</v>
      </c>
      <c r="G12" s="120">
        <f t="shared" si="1"/>
        <v>0</v>
      </c>
      <c r="H12" s="120">
        <f t="shared" si="1"/>
        <v>0</v>
      </c>
      <c r="I12" s="120">
        <f t="shared" si="1"/>
        <v>2500</v>
      </c>
      <c r="J12" s="120">
        <f t="shared" si="1"/>
        <v>6000</v>
      </c>
      <c r="K12" s="120">
        <f t="shared" si="1"/>
        <v>0</v>
      </c>
      <c r="L12" s="120">
        <f t="shared" si="1"/>
        <v>2500</v>
      </c>
      <c r="M12" s="120">
        <f t="shared" si="1"/>
        <v>0</v>
      </c>
      <c r="N12" s="120">
        <f t="shared" si="1"/>
        <v>0</v>
      </c>
      <c r="O12" s="120">
        <f t="shared" si="1"/>
        <v>67596</v>
      </c>
      <c r="P12" s="120">
        <f t="shared" si="1"/>
        <v>0</v>
      </c>
      <c r="Q12" s="100">
        <f>SUM(E12:P12)</f>
        <v>81000</v>
      </c>
    </row>
    <row r="13" spans="1:17" s="170" customFormat="1">
      <c r="A13" s="175"/>
      <c r="B13" s="176" t="s">
        <v>208</v>
      </c>
      <c r="C13" s="177" t="s">
        <v>158</v>
      </c>
      <c r="D13" s="104">
        <v>65000</v>
      </c>
      <c r="E13" s="104"/>
      <c r="F13" s="105"/>
      <c r="G13" s="104"/>
      <c r="H13" s="105"/>
      <c r="I13" s="104"/>
      <c r="J13" s="105"/>
      <c r="K13" s="104"/>
      <c r="L13" s="105"/>
      <c r="M13" s="104"/>
      <c r="N13" s="105"/>
      <c r="O13" s="104">
        <v>65000</v>
      </c>
      <c r="P13" s="104"/>
      <c r="Q13" s="169">
        <f t="shared" ref="Q13:Q75" si="2">SUM(E13:P13)</f>
        <v>65000</v>
      </c>
    </row>
    <row r="14" spans="1:17" s="170" customFormat="1">
      <c r="A14" s="178"/>
      <c r="B14" s="179" t="s">
        <v>77</v>
      </c>
      <c r="C14" s="180" t="s">
        <v>78</v>
      </c>
      <c r="D14" s="181">
        <v>16000</v>
      </c>
      <c r="E14" s="182"/>
      <c r="F14" s="183">
        <v>2404</v>
      </c>
      <c r="G14" s="182"/>
      <c r="H14" s="183"/>
      <c r="I14" s="182">
        <v>2500</v>
      </c>
      <c r="J14" s="183">
        <v>6000</v>
      </c>
      <c r="K14" s="182"/>
      <c r="L14" s="183">
        <v>2500</v>
      </c>
      <c r="M14" s="182"/>
      <c r="N14" s="183"/>
      <c r="O14" s="182">
        <v>2596</v>
      </c>
      <c r="P14" s="182"/>
      <c r="Q14" s="169">
        <f t="shared" si="2"/>
        <v>16000</v>
      </c>
    </row>
    <row r="15" spans="1:17">
      <c r="A15" s="142" t="s">
        <v>79</v>
      </c>
      <c r="B15" s="143" t="s">
        <v>80</v>
      </c>
      <c r="C15" s="144"/>
      <c r="D15" s="55">
        <f>SUM(D16:D18)</f>
        <v>302000</v>
      </c>
      <c r="E15" s="55">
        <f t="shared" ref="E15:F15" si="3">SUM(E16:E18)</f>
        <v>18238</v>
      </c>
      <c r="F15" s="55">
        <f t="shared" si="3"/>
        <v>18238</v>
      </c>
      <c r="G15" s="55">
        <f t="shared" ref="G15:P15" si="4">SUM(G16:G18)</f>
        <v>18238</v>
      </c>
      <c r="H15" s="56">
        <f t="shared" si="4"/>
        <v>28882</v>
      </c>
      <c r="I15" s="55">
        <f t="shared" si="4"/>
        <v>21936</v>
      </c>
      <c r="J15" s="56">
        <f t="shared" si="4"/>
        <v>21936</v>
      </c>
      <c r="K15" s="55">
        <f t="shared" si="4"/>
        <v>34686</v>
      </c>
      <c r="L15" s="56">
        <f t="shared" si="4"/>
        <v>21936</v>
      </c>
      <c r="M15" s="55">
        <f t="shared" si="4"/>
        <v>21936</v>
      </c>
      <c r="N15" s="56">
        <f t="shared" si="4"/>
        <v>37686</v>
      </c>
      <c r="O15" s="55">
        <f t="shared" si="4"/>
        <v>21936</v>
      </c>
      <c r="P15" s="55">
        <f t="shared" si="4"/>
        <v>36352</v>
      </c>
      <c r="Q15" s="100">
        <f t="shared" si="2"/>
        <v>302000</v>
      </c>
    </row>
    <row r="16" spans="1:17" s="170" customFormat="1">
      <c r="A16" s="184"/>
      <c r="B16" s="185" t="s">
        <v>167</v>
      </c>
      <c r="C16" s="186" t="s">
        <v>168</v>
      </c>
      <c r="D16" s="67">
        <v>3000</v>
      </c>
      <c r="E16" s="67"/>
      <c r="F16" s="173"/>
      <c r="G16" s="67"/>
      <c r="H16" s="173"/>
      <c r="I16" s="67"/>
      <c r="J16" s="173"/>
      <c r="K16" s="67"/>
      <c r="L16" s="173"/>
      <c r="M16" s="67"/>
      <c r="N16" s="173">
        <v>3000</v>
      </c>
      <c r="O16" s="67"/>
      <c r="P16" s="67"/>
      <c r="Q16" s="169">
        <f t="shared" si="2"/>
        <v>3000</v>
      </c>
    </row>
    <row r="17" spans="1:17" s="170" customFormat="1">
      <c r="A17" s="184"/>
      <c r="B17" s="185" t="s">
        <v>169</v>
      </c>
      <c r="C17" s="186" t="s">
        <v>170</v>
      </c>
      <c r="D17" s="67">
        <v>51000</v>
      </c>
      <c r="E17" s="67"/>
      <c r="F17" s="173"/>
      <c r="G17" s="67"/>
      <c r="H17" s="173">
        <v>11082</v>
      </c>
      <c r="I17" s="67"/>
      <c r="J17" s="173"/>
      <c r="K17" s="67">
        <v>12750</v>
      </c>
      <c r="L17" s="173"/>
      <c r="M17" s="67"/>
      <c r="N17" s="173">
        <v>12750</v>
      </c>
      <c r="O17" s="67"/>
      <c r="P17" s="67">
        <f>12750+1668</f>
        <v>14418</v>
      </c>
      <c r="Q17" s="169">
        <f t="shared" si="2"/>
        <v>51000</v>
      </c>
    </row>
    <row r="18" spans="1:17" s="170" customFormat="1">
      <c r="A18" s="187"/>
      <c r="B18" s="188" t="s">
        <v>77</v>
      </c>
      <c r="C18" s="180" t="s">
        <v>81</v>
      </c>
      <c r="D18" s="181">
        <v>248000</v>
      </c>
      <c r="E18" s="181">
        <v>18238</v>
      </c>
      <c r="F18" s="189">
        <v>18238</v>
      </c>
      <c r="G18" s="181">
        <v>18238</v>
      </c>
      <c r="H18" s="189">
        <v>17800</v>
      </c>
      <c r="I18" s="181">
        <f t="shared" ref="I18:O18" si="5">20000+1936</f>
        <v>21936</v>
      </c>
      <c r="J18" s="189">
        <f t="shared" si="5"/>
        <v>21936</v>
      </c>
      <c r="K18" s="181">
        <f t="shared" si="5"/>
        <v>21936</v>
      </c>
      <c r="L18" s="189">
        <f t="shared" si="5"/>
        <v>21936</v>
      </c>
      <c r="M18" s="181">
        <f t="shared" si="5"/>
        <v>21936</v>
      </c>
      <c r="N18" s="189">
        <f t="shared" si="5"/>
        <v>21936</v>
      </c>
      <c r="O18" s="181">
        <f t="shared" si="5"/>
        <v>21936</v>
      </c>
      <c r="P18" s="181">
        <f>20000+1934</f>
        <v>21934</v>
      </c>
      <c r="Q18" s="169">
        <f t="shared" si="2"/>
        <v>248000</v>
      </c>
    </row>
    <row r="19" spans="1:17">
      <c r="A19" s="146">
        <v>600</v>
      </c>
      <c r="B19" s="143" t="s">
        <v>85</v>
      </c>
      <c r="C19" s="144"/>
      <c r="D19" s="55">
        <f>SUM(D20+D23)</f>
        <v>2829081</v>
      </c>
      <c r="E19" s="55">
        <f t="shared" ref="E19" si="6">SUM(E20+E23)</f>
        <v>163362</v>
      </c>
      <c r="F19" s="56">
        <f t="shared" ref="F19:P19" si="7">SUM(F20+F23)</f>
        <v>385145</v>
      </c>
      <c r="G19" s="55">
        <f t="shared" si="7"/>
        <v>276713</v>
      </c>
      <c r="H19" s="56">
        <f t="shared" si="7"/>
        <v>211922</v>
      </c>
      <c r="I19" s="55">
        <f t="shared" si="7"/>
        <v>198807</v>
      </c>
      <c r="J19" s="56">
        <f t="shared" si="7"/>
        <v>246475</v>
      </c>
      <c r="K19" s="55">
        <f t="shared" si="7"/>
        <v>224443</v>
      </c>
      <c r="L19" s="56">
        <f t="shared" si="7"/>
        <v>224443</v>
      </c>
      <c r="M19" s="55">
        <f t="shared" si="7"/>
        <v>224443</v>
      </c>
      <c r="N19" s="56">
        <f t="shared" si="7"/>
        <v>224443</v>
      </c>
      <c r="O19" s="55">
        <f t="shared" si="7"/>
        <v>224443</v>
      </c>
      <c r="P19" s="55">
        <f t="shared" si="7"/>
        <v>224442</v>
      </c>
      <c r="Q19" s="100">
        <f t="shared" si="2"/>
        <v>2829081</v>
      </c>
    </row>
    <row r="20" spans="1:17">
      <c r="A20" s="147"/>
      <c r="B20" s="145" t="s">
        <v>171</v>
      </c>
      <c r="C20" s="148">
        <v>60014</v>
      </c>
      <c r="D20" s="121">
        <f>SUM(D21:D22)</f>
        <v>2033731</v>
      </c>
      <c r="E20" s="121">
        <f t="shared" ref="E20:P20" si="8">SUM(E21:E22)</f>
        <v>139014</v>
      </c>
      <c r="F20" s="122">
        <f t="shared" si="8"/>
        <v>303479</v>
      </c>
      <c r="G20" s="121">
        <f t="shared" si="8"/>
        <v>211379</v>
      </c>
      <c r="H20" s="122">
        <f t="shared" si="8"/>
        <v>127166</v>
      </c>
      <c r="I20" s="121">
        <f t="shared" si="8"/>
        <v>138319</v>
      </c>
      <c r="J20" s="122">
        <f t="shared" si="8"/>
        <v>178081</v>
      </c>
      <c r="K20" s="121">
        <f t="shared" si="8"/>
        <v>156049</v>
      </c>
      <c r="L20" s="122">
        <f t="shared" si="8"/>
        <v>156049</v>
      </c>
      <c r="M20" s="121">
        <f t="shared" si="8"/>
        <v>156049</v>
      </c>
      <c r="N20" s="122">
        <f t="shared" si="8"/>
        <v>156049</v>
      </c>
      <c r="O20" s="121">
        <f t="shared" si="8"/>
        <v>156049</v>
      </c>
      <c r="P20" s="121">
        <f t="shared" si="8"/>
        <v>156048</v>
      </c>
      <c r="Q20" s="100">
        <f t="shared" si="2"/>
        <v>2033731</v>
      </c>
    </row>
    <row r="21" spans="1:17">
      <c r="A21" s="147"/>
      <c r="B21" s="162" t="s">
        <v>210</v>
      </c>
      <c r="C21" s="148"/>
      <c r="D21" s="121">
        <v>2011699</v>
      </c>
      <c r="E21" s="121">
        <v>139014</v>
      </c>
      <c r="F21" s="122">
        <v>303479</v>
      </c>
      <c r="G21" s="121">
        <v>211379</v>
      </c>
      <c r="H21" s="122">
        <v>127166</v>
      </c>
      <c r="I21" s="122">
        <v>138319</v>
      </c>
      <c r="J21" s="122">
        <v>156049</v>
      </c>
      <c r="K21" s="122">
        <v>156049</v>
      </c>
      <c r="L21" s="122">
        <v>156049</v>
      </c>
      <c r="M21" s="122">
        <v>156049</v>
      </c>
      <c r="N21" s="122">
        <v>156049</v>
      </c>
      <c r="O21" s="122">
        <v>156049</v>
      </c>
      <c r="P21" s="122">
        <v>156048</v>
      </c>
      <c r="Q21" s="100">
        <f t="shared" si="2"/>
        <v>2011699</v>
      </c>
    </row>
    <row r="22" spans="1:17" s="170" customFormat="1">
      <c r="A22" s="190"/>
      <c r="B22" s="191" t="s">
        <v>209</v>
      </c>
      <c r="C22" s="192"/>
      <c r="D22" s="181">
        <v>22032</v>
      </c>
      <c r="E22" s="181"/>
      <c r="F22" s="189"/>
      <c r="G22" s="181"/>
      <c r="H22" s="189"/>
      <c r="I22" s="181"/>
      <c r="J22" s="189">
        <v>22032</v>
      </c>
      <c r="K22" s="181"/>
      <c r="L22" s="189"/>
      <c r="M22" s="181"/>
      <c r="N22" s="189"/>
      <c r="O22" s="181"/>
      <c r="P22" s="181"/>
      <c r="Q22" s="169">
        <f t="shared" si="2"/>
        <v>22032</v>
      </c>
    </row>
    <row r="23" spans="1:17">
      <c r="A23" s="147"/>
      <c r="B23" s="145" t="s">
        <v>77</v>
      </c>
      <c r="C23" s="148">
        <v>60095</v>
      </c>
      <c r="D23" s="68">
        <v>795350</v>
      </c>
      <c r="E23" s="59">
        <v>24348</v>
      </c>
      <c r="F23" s="60">
        <v>81666</v>
      </c>
      <c r="G23" s="59">
        <v>65334</v>
      </c>
      <c r="H23" s="60">
        <v>84756</v>
      </c>
      <c r="I23" s="59">
        <v>60488</v>
      </c>
      <c r="J23" s="60">
        <v>68394</v>
      </c>
      <c r="K23" s="59">
        <v>68394</v>
      </c>
      <c r="L23" s="60">
        <v>68394</v>
      </c>
      <c r="M23" s="59">
        <v>68394</v>
      </c>
      <c r="N23" s="60">
        <v>68394</v>
      </c>
      <c r="O23" s="59">
        <v>68394</v>
      </c>
      <c r="P23" s="59">
        <v>68394</v>
      </c>
      <c r="Q23" s="100">
        <f t="shared" si="2"/>
        <v>795350</v>
      </c>
    </row>
    <row r="24" spans="1:17">
      <c r="A24" s="146">
        <v>630</v>
      </c>
      <c r="B24" s="143" t="s">
        <v>172</v>
      </c>
      <c r="C24" s="144"/>
      <c r="D24" s="55">
        <f>SUM(D25)</f>
        <v>15000</v>
      </c>
      <c r="E24" s="55">
        <f t="shared" ref="E24" si="9">SUM(E25)</f>
        <v>0</v>
      </c>
      <c r="F24" s="56">
        <f t="shared" ref="F24:P24" si="10">SUM(F25)</f>
        <v>0</v>
      </c>
      <c r="G24" s="55">
        <f t="shared" si="10"/>
        <v>6000</v>
      </c>
      <c r="H24" s="56">
        <f t="shared" si="10"/>
        <v>0</v>
      </c>
      <c r="I24" s="55">
        <f t="shared" si="10"/>
        <v>5000</v>
      </c>
      <c r="J24" s="56">
        <f t="shared" si="10"/>
        <v>0</v>
      </c>
      <c r="K24" s="55">
        <f t="shared" si="10"/>
        <v>0</v>
      </c>
      <c r="L24" s="56">
        <f t="shared" si="10"/>
        <v>0</v>
      </c>
      <c r="M24" s="55">
        <f t="shared" si="10"/>
        <v>4000</v>
      </c>
      <c r="N24" s="56">
        <f t="shared" si="10"/>
        <v>0</v>
      </c>
      <c r="O24" s="55">
        <f t="shared" si="10"/>
        <v>0</v>
      </c>
      <c r="P24" s="55">
        <f t="shared" si="10"/>
        <v>0</v>
      </c>
      <c r="Q24" s="100">
        <f t="shared" si="2"/>
        <v>15000</v>
      </c>
    </row>
    <row r="25" spans="1:17" s="170" customFormat="1">
      <c r="A25" s="187"/>
      <c r="B25" s="188" t="s">
        <v>77</v>
      </c>
      <c r="C25" s="192">
        <v>63095</v>
      </c>
      <c r="D25" s="73">
        <v>15000</v>
      </c>
      <c r="E25" s="73"/>
      <c r="F25" s="173"/>
      <c r="G25" s="73">
        <v>6000</v>
      </c>
      <c r="H25" s="193"/>
      <c r="I25" s="73">
        <v>5000</v>
      </c>
      <c r="J25" s="193"/>
      <c r="K25" s="73"/>
      <c r="L25" s="193"/>
      <c r="M25" s="73">
        <v>4000</v>
      </c>
      <c r="N25" s="193"/>
      <c r="O25" s="73"/>
      <c r="P25" s="73"/>
      <c r="Q25" s="169">
        <f t="shared" si="2"/>
        <v>15000</v>
      </c>
    </row>
    <row r="26" spans="1:17">
      <c r="A26" s="146">
        <v>700</v>
      </c>
      <c r="B26" s="143" t="s">
        <v>87</v>
      </c>
      <c r="C26" s="144"/>
      <c r="D26" s="55">
        <f>SUM(D27:D28)</f>
        <v>144037</v>
      </c>
      <c r="E26" s="55">
        <f t="shared" ref="E26" si="11">SUM(E27:E28)</f>
        <v>12212</v>
      </c>
      <c r="F26" s="56">
        <f t="shared" ref="F26:P26" si="12">SUM(F27:F28)</f>
        <v>14811</v>
      </c>
      <c r="G26" s="55">
        <f t="shared" si="12"/>
        <v>11779</v>
      </c>
      <c r="H26" s="56">
        <f t="shared" si="12"/>
        <v>10811</v>
      </c>
      <c r="I26" s="55">
        <f t="shared" si="12"/>
        <v>22411</v>
      </c>
      <c r="J26" s="56">
        <f t="shared" si="12"/>
        <v>15009</v>
      </c>
      <c r="K26" s="55">
        <f t="shared" si="12"/>
        <v>7909</v>
      </c>
      <c r="L26" s="56">
        <f t="shared" si="12"/>
        <v>8859</v>
      </c>
      <c r="M26" s="55">
        <f t="shared" si="12"/>
        <v>8309</v>
      </c>
      <c r="N26" s="56">
        <f t="shared" si="12"/>
        <v>12309</v>
      </c>
      <c r="O26" s="55">
        <f t="shared" si="12"/>
        <v>10309</v>
      </c>
      <c r="P26" s="55">
        <f t="shared" si="12"/>
        <v>9309</v>
      </c>
      <c r="Q26" s="100">
        <f t="shared" si="2"/>
        <v>144037</v>
      </c>
    </row>
    <row r="27" spans="1:17" s="170" customFormat="1">
      <c r="A27" s="187"/>
      <c r="B27" s="191" t="s">
        <v>165</v>
      </c>
      <c r="C27" s="192">
        <v>70005</v>
      </c>
      <c r="D27" s="181">
        <v>100037</v>
      </c>
      <c r="E27" s="181">
        <v>10812</v>
      </c>
      <c r="F27" s="189">
        <v>14811</v>
      </c>
      <c r="G27" s="181">
        <v>11079</v>
      </c>
      <c r="H27" s="189">
        <v>6311</v>
      </c>
      <c r="I27" s="181">
        <v>5811</v>
      </c>
      <c r="J27" s="189">
        <v>11309</v>
      </c>
      <c r="K27" s="181">
        <v>6309</v>
      </c>
      <c r="L27" s="189">
        <v>6359</v>
      </c>
      <c r="M27" s="181">
        <v>7309</v>
      </c>
      <c r="N27" s="189">
        <v>7309</v>
      </c>
      <c r="O27" s="181">
        <v>6809</v>
      </c>
      <c r="P27" s="181">
        <v>5809</v>
      </c>
      <c r="Q27" s="169">
        <f t="shared" si="2"/>
        <v>100037</v>
      </c>
    </row>
    <row r="28" spans="1:17" s="170" customFormat="1">
      <c r="A28" s="187"/>
      <c r="B28" s="191" t="s">
        <v>164</v>
      </c>
      <c r="C28" s="192">
        <v>70005</v>
      </c>
      <c r="D28" s="181">
        <v>44000</v>
      </c>
      <c r="E28" s="181">
        <v>1400</v>
      </c>
      <c r="F28" s="189"/>
      <c r="G28" s="181">
        <v>700</v>
      </c>
      <c r="H28" s="189">
        <v>4500</v>
      </c>
      <c r="I28" s="181">
        <f>12600+4000</f>
        <v>16600</v>
      </c>
      <c r="J28" s="189">
        <v>3700</v>
      </c>
      <c r="K28" s="181">
        <v>1600</v>
      </c>
      <c r="L28" s="189">
        <v>2500</v>
      </c>
      <c r="M28" s="181">
        <v>1000</v>
      </c>
      <c r="N28" s="189">
        <v>5000</v>
      </c>
      <c r="O28" s="181">
        <v>3500</v>
      </c>
      <c r="P28" s="181">
        <v>3500</v>
      </c>
      <c r="Q28" s="169">
        <f t="shared" si="2"/>
        <v>44000</v>
      </c>
    </row>
    <row r="29" spans="1:17">
      <c r="A29" s="146">
        <v>710</v>
      </c>
      <c r="B29" s="143" t="s">
        <v>91</v>
      </c>
      <c r="C29" s="144"/>
      <c r="D29" s="55">
        <f t="shared" ref="D29:P29" si="13">SUM(D30:D32)</f>
        <v>499920</v>
      </c>
      <c r="E29" s="55">
        <f t="shared" ref="E29" si="14">SUM(E30:E32)</f>
        <v>15458</v>
      </c>
      <c r="F29" s="56">
        <f t="shared" si="13"/>
        <v>25288</v>
      </c>
      <c r="G29" s="55">
        <f t="shared" si="13"/>
        <v>45888</v>
      </c>
      <c r="H29" s="56">
        <f t="shared" si="13"/>
        <v>26484</v>
      </c>
      <c r="I29" s="55">
        <f t="shared" si="13"/>
        <v>46700</v>
      </c>
      <c r="J29" s="56">
        <f t="shared" si="13"/>
        <v>75150</v>
      </c>
      <c r="K29" s="55">
        <f t="shared" si="13"/>
        <v>46050</v>
      </c>
      <c r="L29" s="56">
        <f t="shared" si="13"/>
        <v>66343</v>
      </c>
      <c r="M29" s="55">
        <f t="shared" si="13"/>
        <v>26050</v>
      </c>
      <c r="N29" s="56">
        <f t="shared" si="13"/>
        <v>26430</v>
      </c>
      <c r="O29" s="55">
        <f t="shared" si="13"/>
        <v>72555</v>
      </c>
      <c r="P29" s="55">
        <f t="shared" si="13"/>
        <v>27524</v>
      </c>
      <c r="Q29" s="100">
        <f t="shared" si="2"/>
        <v>499920</v>
      </c>
    </row>
    <row r="30" spans="1:17" s="170" customFormat="1">
      <c r="A30" s="187"/>
      <c r="B30" s="188" t="s">
        <v>92</v>
      </c>
      <c r="C30" s="192">
        <v>71015</v>
      </c>
      <c r="D30" s="67">
        <v>319920</v>
      </c>
      <c r="E30" s="67">
        <v>15458</v>
      </c>
      <c r="F30" s="173">
        <v>25050</v>
      </c>
      <c r="G30" s="67">
        <v>45488</v>
      </c>
      <c r="H30" s="173">
        <v>26050</v>
      </c>
      <c r="I30" s="67">
        <v>26050</v>
      </c>
      <c r="J30" s="173">
        <v>26050</v>
      </c>
      <c r="K30" s="67">
        <v>26050</v>
      </c>
      <c r="L30" s="173">
        <v>26050</v>
      </c>
      <c r="M30" s="67">
        <v>26050</v>
      </c>
      <c r="N30" s="173">
        <v>25050</v>
      </c>
      <c r="O30" s="67">
        <v>25050</v>
      </c>
      <c r="P30" s="67">
        <v>27524</v>
      </c>
      <c r="Q30" s="169">
        <f t="shared" si="2"/>
        <v>319920</v>
      </c>
    </row>
    <row r="31" spans="1:17" s="170" customFormat="1">
      <c r="A31" s="187"/>
      <c r="B31" s="188" t="s">
        <v>93</v>
      </c>
      <c r="C31" s="192">
        <v>71020</v>
      </c>
      <c r="D31" s="73">
        <v>80000</v>
      </c>
      <c r="E31" s="73"/>
      <c r="F31" s="193"/>
      <c r="G31" s="73"/>
      <c r="H31" s="193"/>
      <c r="I31" s="73">
        <v>20000</v>
      </c>
      <c r="J31" s="193"/>
      <c r="K31" s="73">
        <v>20000</v>
      </c>
      <c r="L31" s="193">
        <v>40000</v>
      </c>
      <c r="M31" s="73"/>
      <c r="N31" s="193"/>
      <c r="O31" s="73"/>
      <c r="P31" s="73"/>
      <c r="Q31" s="169">
        <f t="shared" si="2"/>
        <v>80000</v>
      </c>
    </row>
    <row r="32" spans="1:17" s="170" customFormat="1">
      <c r="A32" s="187"/>
      <c r="B32" s="188" t="s">
        <v>77</v>
      </c>
      <c r="C32" s="192">
        <v>71095</v>
      </c>
      <c r="D32" s="73">
        <v>100000</v>
      </c>
      <c r="E32" s="73">
        <v>0</v>
      </c>
      <c r="F32" s="193">
        <v>238</v>
      </c>
      <c r="G32" s="73">
        <v>400</v>
      </c>
      <c r="H32" s="193">
        <v>434</v>
      </c>
      <c r="I32" s="73">
        <v>650</v>
      </c>
      <c r="J32" s="193">
        <v>49100</v>
      </c>
      <c r="K32" s="73"/>
      <c r="L32" s="193">
        <v>293</v>
      </c>
      <c r="M32" s="73"/>
      <c r="N32" s="193">
        <v>1380</v>
      </c>
      <c r="O32" s="73">
        <v>47505</v>
      </c>
      <c r="P32" s="73"/>
      <c r="Q32" s="169">
        <f t="shared" si="2"/>
        <v>100000</v>
      </c>
    </row>
    <row r="33" spans="1:17">
      <c r="A33" s="146">
        <v>750</v>
      </c>
      <c r="B33" s="143" t="s">
        <v>94</v>
      </c>
      <c r="C33" s="144"/>
      <c r="D33" s="55">
        <f t="shared" ref="D33:P33" si="15">SUM(D34:D39)</f>
        <v>7102309</v>
      </c>
      <c r="E33" s="55">
        <f t="shared" si="15"/>
        <v>509425</v>
      </c>
      <c r="F33" s="56">
        <f t="shared" si="15"/>
        <v>802186</v>
      </c>
      <c r="G33" s="55">
        <f t="shared" si="15"/>
        <v>743319</v>
      </c>
      <c r="H33" s="56">
        <f t="shared" si="15"/>
        <v>583897</v>
      </c>
      <c r="I33" s="55">
        <f t="shared" si="15"/>
        <v>611811</v>
      </c>
      <c r="J33" s="56">
        <f t="shared" si="15"/>
        <v>549535</v>
      </c>
      <c r="K33" s="55">
        <f t="shared" si="15"/>
        <v>544505</v>
      </c>
      <c r="L33" s="56">
        <f t="shared" si="15"/>
        <v>554535</v>
      </c>
      <c r="M33" s="55">
        <f t="shared" si="15"/>
        <v>556086</v>
      </c>
      <c r="N33" s="56">
        <f t="shared" si="15"/>
        <v>543536</v>
      </c>
      <c r="O33" s="55">
        <f t="shared" si="15"/>
        <v>548936</v>
      </c>
      <c r="P33" s="55">
        <f t="shared" si="15"/>
        <v>554538</v>
      </c>
      <c r="Q33" s="100">
        <f t="shared" si="2"/>
        <v>7102309</v>
      </c>
    </row>
    <row r="34" spans="1:17" s="170" customFormat="1">
      <c r="A34" s="187"/>
      <c r="B34" s="188" t="s">
        <v>95</v>
      </c>
      <c r="C34" s="192">
        <v>75011</v>
      </c>
      <c r="D34" s="67">
        <v>118792</v>
      </c>
      <c r="E34" s="67"/>
      <c r="F34" s="173"/>
      <c r="G34" s="67">
        <v>36496</v>
      </c>
      <c r="H34" s="173">
        <v>9124</v>
      </c>
      <c r="I34" s="67">
        <v>9146</v>
      </c>
      <c r="J34" s="173">
        <v>9146</v>
      </c>
      <c r="K34" s="67">
        <v>9146</v>
      </c>
      <c r="L34" s="173">
        <v>9146</v>
      </c>
      <c r="M34" s="67">
        <v>9147</v>
      </c>
      <c r="N34" s="173">
        <v>9147</v>
      </c>
      <c r="O34" s="67">
        <v>9147</v>
      </c>
      <c r="P34" s="67">
        <v>9147</v>
      </c>
      <c r="Q34" s="169">
        <f t="shared" si="2"/>
        <v>118792</v>
      </c>
    </row>
    <row r="35" spans="1:17" s="170" customFormat="1">
      <c r="A35" s="187"/>
      <c r="B35" s="188" t="s">
        <v>173</v>
      </c>
      <c r="C35" s="192">
        <v>75019</v>
      </c>
      <c r="D35" s="67">
        <v>240000</v>
      </c>
      <c r="E35" s="67">
        <v>17240</v>
      </c>
      <c r="F35" s="173">
        <v>18580</v>
      </c>
      <c r="G35" s="67">
        <v>17520</v>
      </c>
      <c r="H35" s="173">
        <v>17700</v>
      </c>
      <c r="I35" s="67">
        <v>21120</v>
      </c>
      <c r="J35" s="173">
        <v>21120</v>
      </c>
      <c r="K35" s="67">
        <v>21120</v>
      </c>
      <c r="L35" s="173">
        <v>21120</v>
      </c>
      <c r="M35" s="67">
        <v>21120</v>
      </c>
      <c r="N35" s="173">
        <v>21120</v>
      </c>
      <c r="O35" s="67">
        <v>21120</v>
      </c>
      <c r="P35" s="67">
        <v>21120</v>
      </c>
      <c r="Q35" s="169">
        <f t="shared" si="2"/>
        <v>240000</v>
      </c>
    </row>
    <row r="36" spans="1:17" s="170" customFormat="1">
      <c r="A36" s="194"/>
      <c r="B36" s="195" t="s">
        <v>96</v>
      </c>
      <c r="C36" s="196">
        <v>75020</v>
      </c>
      <c r="D36" s="197">
        <v>6530017</v>
      </c>
      <c r="E36" s="197">
        <v>492185</v>
      </c>
      <c r="F36" s="198">
        <v>778951</v>
      </c>
      <c r="G36" s="197">
        <v>678530</v>
      </c>
      <c r="H36" s="198">
        <v>531003</v>
      </c>
      <c r="I36" s="197">
        <v>560868</v>
      </c>
      <c r="J36" s="198">
        <v>498354</v>
      </c>
      <c r="K36" s="197">
        <v>498354</v>
      </c>
      <c r="L36" s="198">
        <v>498354</v>
      </c>
      <c r="M36" s="197">
        <v>498354</v>
      </c>
      <c r="N36" s="198">
        <v>498354</v>
      </c>
      <c r="O36" s="197">
        <v>498354</v>
      </c>
      <c r="P36" s="197">
        <v>498356</v>
      </c>
      <c r="Q36" s="169">
        <f t="shared" si="2"/>
        <v>6530017</v>
      </c>
    </row>
    <row r="37" spans="1:17" s="170" customFormat="1">
      <c r="A37" s="194"/>
      <c r="B37" s="188" t="s">
        <v>97</v>
      </c>
      <c r="C37" s="192">
        <v>75045</v>
      </c>
      <c r="D37" s="67">
        <v>23500</v>
      </c>
      <c r="E37" s="67"/>
      <c r="F37" s="173"/>
      <c r="G37" s="67">
        <v>1511</v>
      </c>
      <c r="H37" s="173">
        <v>17227</v>
      </c>
      <c r="I37" s="67">
        <v>4762</v>
      </c>
      <c r="J37" s="173"/>
      <c r="K37" s="67"/>
      <c r="L37" s="173"/>
      <c r="M37" s="67"/>
      <c r="N37" s="173"/>
      <c r="O37" s="67"/>
      <c r="P37" s="67"/>
      <c r="Q37" s="169">
        <f t="shared" si="2"/>
        <v>23500</v>
      </c>
    </row>
    <row r="38" spans="1:17" s="170" customFormat="1">
      <c r="A38" s="187"/>
      <c r="B38" s="188" t="s">
        <v>174</v>
      </c>
      <c r="C38" s="192">
        <v>75075</v>
      </c>
      <c r="D38" s="73">
        <v>180000</v>
      </c>
      <c r="E38" s="73">
        <v>0</v>
      </c>
      <c r="F38" s="193">
        <v>4655</v>
      </c>
      <c r="G38" s="73">
        <v>9262</v>
      </c>
      <c r="H38" s="193">
        <v>8843</v>
      </c>
      <c r="I38" s="73">
        <f>5000+10915</f>
        <v>15915</v>
      </c>
      <c r="J38" s="193">
        <f>10000+10915</f>
        <v>20915</v>
      </c>
      <c r="K38" s="73">
        <f>4970+10915</f>
        <v>15885</v>
      </c>
      <c r="L38" s="193">
        <f>15000+10915</f>
        <v>25915</v>
      </c>
      <c r="M38" s="73">
        <f>16550+10915</f>
        <v>27465</v>
      </c>
      <c r="N38" s="193">
        <f>4000+10915</f>
        <v>14915</v>
      </c>
      <c r="O38" s="73">
        <f>9400+10915</f>
        <v>20315</v>
      </c>
      <c r="P38" s="73">
        <f>5000+10915</f>
        <v>15915</v>
      </c>
      <c r="Q38" s="169">
        <f t="shared" si="2"/>
        <v>180000</v>
      </c>
    </row>
    <row r="39" spans="1:17" s="170" customFormat="1">
      <c r="A39" s="187"/>
      <c r="B39" s="188" t="s">
        <v>77</v>
      </c>
      <c r="C39" s="192">
        <v>75095</v>
      </c>
      <c r="D39" s="73">
        <v>10000</v>
      </c>
      <c r="E39" s="73"/>
      <c r="F39" s="193"/>
      <c r="G39" s="73"/>
      <c r="H39" s="193"/>
      <c r="I39" s="73"/>
      <c r="J39" s="193"/>
      <c r="K39" s="73"/>
      <c r="L39" s="193"/>
      <c r="M39" s="73"/>
      <c r="N39" s="193"/>
      <c r="O39" s="73"/>
      <c r="P39" s="73">
        <v>10000</v>
      </c>
      <c r="Q39" s="169">
        <f t="shared" si="2"/>
        <v>10000</v>
      </c>
    </row>
    <row r="40" spans="1:17">
      <c r="A40" s="146">
        <v>754</v>
      </c>
      <c r="B40" s="143" t="s">
        <v>99</v>
      </c>
      <c r="C40" s="144"/>
      <c r="D40" s="55">
        <f>SUM(D41:D42)</f>
        <v>5369606</v>
      </c>
      <c r="E40" s="55">
        <f t="shared" ref="E40" si="16">SUM(E41:E42)</f>
        <v>319607</v>
      </c>
      <c r="F40" s="56">
        <f t="shared" ref="F40:P40" si="17">SUM(F41:F42)</f>
        <v>586661</v>
      </c>
      <c r="G40" s="55">
        <f t="shared" si="17"/>
        <v>442397</v>
      </c>
      <c r="H40" s="56">
        <f t="shared" si="17"/>
        <v>380089</v>
      </c>
      <c r="I40" s="55">
        <f t="shared" si="17"/>
        <v>548625</v>
      </c>
      <c r="J40" s="56">
        <f t="shared" si="17"/>
        <v>400625</v>
      </c>
      <c r="K40" s="55">
        <f t="shared" si="17"/>
        <v>375625</v>
      </c>
      <c r="L40" s="56">
        <f t="shared" si="17"/>
        <v>429091</v>
      </c>
      <c r="M40" s="55">
        <f t="shared" si="17"/>
        <v>440591</v>
      </c>
      <c r="N40" s="56">
        <f t="shared" si="17"/>
        <v>425091</v>
      </c>
      <c r="O40" s="55">
        <f t="shared" si="17"/>
        <v>465091</v>
      </c>
      <c r="P40" s="55">
        <f t="shared" si="17"/>
        <v>556113</v>
      </c>
      <c r="Q40" s="100">
        <f t="shared" si="2"/>
        <v>5369606</v>
      </c>
    </row>
    <row r="41" spans="1:17" s="170" customFormat="1">
      <c r="A41" s="187"/>
      <c r="B41" s="188" t="s">
        <v>100</v>
      </c>
      <c r="C41" s="192">
        <v>75411</v>
      </c>
      <c r="D41" s="181">
        <v>5354606</v>
      </c>
      <c r="E41" s="181">
        <v>319607</v>
      </c>
      <c r="F41" s="189">
        <v>586661</v>
      </c>
      <c r="G41" s="181">
        <v>442397</v>
      </c>
      <c r="H41" s="189">
        <v>378089</v>
      </c>
      <c r="I41" s="181">
        <f>510000+35625</f>
        <v>545625</v>
      </c>
      <c r="J41" s="189">
        <f>365000+35625</f>
        <v>400625</v>
      </c>
      <c r="K41" s="181">
        <f>340000+35625</f>
        <v>375625</v>
      </c>
      <c r="L41" s="189">
        <f>350000+35625+39466</f>
        <v>425091</v>
      </c>
      <c r="M41" s="181">
        <f>364500+35625+39466</f>
        <v>439591</v>
      </c>
      <c r="N41" s="189">
        <f>350000+35625+39466</f>
        <v>425091</v>
      </c>
      <c r="O41" s="181">
        <f>390000+35625+39466</f>
        <v>465091</v>
      </c>
      <c r="P41" s="181">
        <f>467022+35625+39466+9000</f>
        <v>551113</v>
      </c>
      <c r="Q41" s="169">
        <f t="shared" si="2"/>
        <v>5354606</v>
      </c>
    </row>
    <row r="42" spans="1:17" s="170" customFormat="1">
      <c r="A42" s="187"/>
      <c r="B42" s="188" t="s">
        <v>77</v>
      </c>
      <c r="C42" s="192">
        <v>75495</v>
      </c>
      <c r="D42" s="67">
        <v>15000</v>
      </c>
      <c r="E42" s="67"/>
      <c r="F42" s="173"/>
      <c r="G42" s="67"/>
      <c r="H42" s="173">
        <v>2000</v>
      </c>
      <c r="I42" s="67">
        <v>3000</v>
      </c>
      <c r="J42" s="173"/>
      <c r="K42" s="67"/>
      <c r="L42" s="173">
        <v>4000</v>
      </c>
      <c r="M42" s="67">
        <v>1000</v>
      </c>
      <c r="N42" s="173"/>
      <c r="O42" s="67"/>
      <c r="P42" s="67">
        <v>5000</v>
      </c>
      <c r="Q42" s="169">
        <f t="shared" si="2"/>
        <v>15000</v>
      </c>
    </row>
    <row r="43" spans="1:17">
      <c r="A43" s="146">
        <v>755</v>
      </c>
      <c r="B43" s="143" t="s">
        <v>101</v>
      </c>
      <c r="C43" s="149"/>
      <c r="D43" s="76">
        <f>SUM(D44)</f>
        <v>187812</v>
      </c>
      <c r="E43" s="76">
        <f t="shared" ref="E43" si="18">SUM(E44)</f>
        <v>0</v>
      </c>
      <c r="F43" s="111">
        <f t="shared" ref="F43:P43" si="19">SUM(F44)</f>
        <v>15181</v>
      </c>
      <c r="G43" s="76">
        <f t="shared" si="19"/>
        <v>15181</v>
      </c>
      <c r="H43" s="111">
        <f t="shared" si="19"/>
        <v>15181</v>
      </c>
      <c r="I43" s="76">
        <f t="shared" si="19"/>
        <v>17784</v>
      </c>
      <c r="J43" s="111">
        <f t="shared" si="19"/>
        <v>17784</v>
      </c>
      <c r="K43" s="76">
        <f t="shared" si="19"/>
        <v>17784</v>
      </c>
      <c r="L43" s="111">
        <f t="shared" si="19"/>
        <v>17784</v>
      </c>
      <c r="M43" s="76">
        <f t="shared" si="19"/>
        <v>17784</v>
      </c>
      <c r="N43" s="111">
        <f t="shared" si="19"/>
        <v>17784</v>
      </c>
      <c r="O43" s="76">
        <f t="shared" si="19"/>
        <v>17784</v>
      </c>
      <c r="P43" s="76">
        <f t="shared" si="19"/>
        <v>17781</v>
      </c>
      <c r="Q43" s="100">
        <f t="shared" si="2"/>
        <v>187812</v>
      </c>
    </row>
    <row r="44" spans="1:17" s="170" customFormat="1">
      <c r="A44" s="187"/>
      <c r="B44" s="188" t="s">
        <v>102</v>
      </c>
      <c r="C44" s="192">
        <v>75515</v>
      </c>
      <c r="D44" s="67">
        <v>187812</v>
      </c>
      <c r="E44" s="67"/>
      <c r="F44" s="173">
        <v>15181</v>
      </c>
      <c r="G44" s="67">
        <v>15181</v>
      </c>
      <c r="H44" s="173">
        <v>15181</v>
      </c>
      <c r="I44" s="67">
        <v>17784</v>
      </c>
      <c r="J44" s="173">
        <v>17784</v>
      </c>
      <c r="K44" s="67">
        <v>17784</v>
      </c>
      <c r="L44" s="173">
        <v>17784</v>
      </c>
      <c r="M44" s="67">
        <v>17784</v>
      </c>
      <c r="N44" s="173">
        <v>17784</v>
      </c>
      <c r="O44" s="67">
        <v>17784</v>
      </c>
      <c r="P44" s="67">
        <v>17781</v>
      </c>
      <c r="Q44" s="169">
        <f t="shared" si="2"/>
        <v>187812</v>
      </c>
    </row>
    <row r="45" spans="1:17">
      <c r="A45" s="146">
        <v>757</v>
      </c>
      <c r="B45" s="143" t="s">
        <v>175</v>
      </c>
      <c r="C45" s="144"/>
      <c r="D45" s="123">
        <f>SUM(D46)</f>
        <v>831246</v>
      </c>
      <c r="E45" s="123">
        <f t="shared" ref="E45" si="20">SUM(E46)</f>
        <v>56067</v>
      </c>
      <c r="F45" s="124">
        <f t="shared" ref="F45:P45" si="21">SUM(F46)</f>
        <v>50617</v>
      </c>
      <c r="G45" s="123">
        <f t="shared" si="21"/>
        <v>72456</v>
      </c>
      <c r="H45" s="124">
        <f t="shared" si="21"/>
        <v>72456</v>
      </c>
      <c r="I45" s="123">
        <f t="shared" si="21"/>
        <v>72456</v>
      </c>
      <c r="J45" s="124">
        <f t="shared" si="21"/>
        <v>72456</v>
      </c>
      <c r="K45" s="123">
        <f t="shared" si="21"/>
        <v>72456</v>
      </c>
      <c r="L45" s="124">
        <f t="shared" si="21"/>
        <v>72456</v>
      </c>
      <c r="M45" s="123">
        <f t="shared" si="21"/>
        <v>72456</v>
      </c>
      <c r="N45" s="124">
        <f t="shared" si="21"/>
        <v>72456</v>
      </c>
      <c r="O45" s="123">
        <f t="shared" si="21"/>
        <v>72456</v>
      </c>
      <c r="P45" s="123">
        <f t="shared" si="21"/>
        <v>72458</v>
      </c>
      <c r="Q45" s="100">
        <f t="shared" si="2"/>
        <v>831246</v>
      </c>
    </row>
    <row r="46" spans="1:17" s="170" customFormat="1">
      <c r="A46" s="187"/>
      <c r="B46" s="188" t="s">
        <v>176</v>
      </c>
      <c r="C46" s="192">
        <v>75702</v>
      </c>
      <c r="D46" s="181">
        <v>831246</v>
      </c>
      <c r="E46" s="181">
        <v>56067</v>
      </c>
      <c r="F46" s="189">
        <v>50617</v>
      </c>
      <c r="G46" s="181">
        <v>72456</v>
      </c>
      <c r="H46" s="189">
        <v>72456</v>
      </c>
      <c r="I46" s="181">
        <v>72456</v>
      </c>
      <c r="J46" s="189">
        <v>72456</v>
      </c>
      <c r="K46" s="181">
        <v>72456</v>
      </c>
      <c r="L46" s="189">
        <v>72456</v>
      </c>
      <c r="M46" s="181">
        <v>72456</v>
      </c>
      <c r="N46" s="189">
        <v>72456</v>
      </c>
      <c r="O46" s="181">
        <v>72456</v>
      </c>
      <c r="P46" s="181">
        <v>72458</v>
      </c>
      <c r="Q46" s="169">
        <f t="shared" si="2"/>
        <v>831246</v>
      </c>
    </row>
    <row r="47" spans="1:17">
      <c r="A47" s="146">
        <v>758</v>
      </c>
      <c r="B47" s="143" t="s">
        <v>107</v>
      </c>
      <c r="C47" s="144"/>
      <c r="D47" s="55">
        <f>SUM(D48:D49)</f>
        <v>230633</v>
      </c>
      <c r="E47" s="55">
        <f t="shared" ref="E47" si="22">SUM(E48:E49)</f>
        <v>0</v>
      </c>
      <c r="F47" s="56">
        <f t="shared" ref="F47:P47" si="23">SUM(F48:F49)</f>
        <v>100</v>
      </c>
      <c r="G47" s="55">
        <f t="shared" si="23"/>
        <v>190</v>
      </c>
      <c r="H47" s="56">
        <f t="shared" si="23"/>
        <v>190</v>
      </c>
      <c r="I47" s="55">
        <f t="shared" si="23"/>
        <v>190</v>
      </c>
      <c r="J47" s="56">
        <f t="shared" si="23"/>
        <v>190</v>
      </c>
      <c r="K47" s="55">
        <f t="shared" si="23"/>
        <v>190</v>
      </c>
      <c r="L47" s="56">
        <f t="shared" si="23"/>
        <v>190</v>
      </c>
      <c r="M47" s="55">
        <f t="shared" si="23"/>
        <v>190</v>
      </c>
      <c r="N47" s="56">
        <f t="shared" si="23"/>
        <v>190</v>
      </c>
      <c r="O47" s="55">
        <f t="shared" si="23"/>
        <v>190</v>
      </c>
      <c r="P47" s="55">
        <f t="shared" si="23"/>
        <v>228823</v>
      </c>
      <c r="Q47" s="100">
        <f t="shared" si="2"/>
        <v>230633</v>
      </c>
    </row>
    <row r="48" spans="1:17" s="170" customFormat="1">
      <c r="A48" s="187"/>
      <c r="B48" s="188" t="s">
        <v>110</v>
      </c>
      <c r="C48" s="192">
        <v>75814</v>
      </c>
      <c r="D48" s="67">
        <v>2000</v>
      </c>
      <c r="E48" s="58"/>
      <c r="F48" s="199">
        <v>100</v>
      </c>
      <c r="G48" s="58">
        <v>190</v>
      </c>
      <c r="H48" s="199">
        <v>190</v>
      </c>
      <c r="I48" s="58">
        <v>190</v>
      </c>
      <c r="J48" s="199">
        <v>190</v>
      </c>
      <c r="K48" s="58">
        <v>190</v>
      </c>
      <c r="L48" s="199">
        <v>190</v>
      </c>
      <c r="M48" s="58">
        <v>190</v>
      </c>
      <c r="N48" s="199">
        <v>190</v>
      </c>
      <c r="O48" s="58">
        <v>190</v>
      </c>
      <c r="P48" s="58">
        <v>190</v>
      </c>
      <c r="Q48" s="169">
        <f t="shared" si="2"/>
        <v>2000</v>
      </c>
    </row>
    <row r="49" spans="1:17" s="170" customFormat="1">
      <c r="A49" s="187"/>
      <c r="B49" s="188" t="s">
        <v>177</v>
      </c>
      <c r="C49" s="192">
        <v>75818</v>
      </c>
      <c r="D49" s="58">
        <v>228633</v>
      </c>
      <c r="E49" s="58"/>
      <c r="F49" s="199"/>
      <c r="G49" s="58"/>
      <c r="H49" s="199"/>
      <c r="I49" s="58"/>
      <c r="J49" s="199"/>
      <c r="K49" s="58"/>
      <c r="L49" s="199"/>
      <c r="M49" s="58"/>
      <c r="N49" s="199"/>
      <c r="O49" s="58"/>
      <c r="P49" s="58">
        <v>228633</v>
      </c>
      <c r="Q49" s="169">
        <f t="shared" si="2"/>
        <v>228633</v>
      </c>
    </row>
    <row r="50" spans="1:17">
      <c r="A50" s="146">
        <v>801</v>
      </c>
      <c r="B50" s="143" t="s">
        <v>112</v>
      </c>
      <c r="C50" s="144"/>
      <c r="D50" s="55">
        <f>SUM(D51+D52+D53+D56+D57+D64+D71+D72+D73+D74+D84+D75+D81)</f>
        <v>28340516</v>
      </c>
      <c r="E50" s="55">
        <f t="shared" ref="E50:P50" si="24">SUM(E51+E52+E53+E56+E57+E64+E71+E72+E73+E74+E84+E75+E81)</f>
        <v>2137553</v>
      </c>
      <c r="F50" s="55">
        <f t="shared" si="24"/>
        <v>2317307</v>
      </c>
      <c r="G50" s="55">
        <f t="shared" si="24"/>
        <v>3176641</v>
      </c>
      <c r="H50" s="55">
        <f t="shared" si="24"/>
        <v>3009362</v>
      </c>
      <c r="I50" s="55">
        <f t="shared" si="24"/>
        <v>2327121</v>
      </c>
      <c r="J50" s="55">
        <f t="shared" si="24"/>
        <v>2189000</v>
      </c>
      <c r="K50" s="55">
        <f t="shared" si="24"/>
        <v>2013928</v>
      </c>
      <c r="L50" s="55">
        <f t="shared" si="24"/>
        <v>2040529</v>
      </c>
      <c r="M50" s="55">
        <f t="shared" si="24"/>
        <v>2094896</v>
      </c>
      <c r="N50" s="55">
        <f t="shared" si="24"/>
        <v>1768044</v>
      </c>
      <c r="O50" s="55">
        <f t="shared" si="24"/>
        <v>1414077</v>
      </c>
      <c r="P50" s="55">
        <f t="shared" si="24"/>
        <v>3852058</v>
      </c>
      <c r="Q50" s="100">
        <f t="shared" si="2"/>
        <v>28340516</v>
      </c>
    </row>
    <row r="51" spans="1:17" s="170" customFormat="1">
      <c r="A51" s="190"/>
      <c r="B51" s="188" t="s">
        <v>113</v>
      </c>
      <c r="C51" s="192">
        <v>80102</v>
      </c>
      <c r="D51" s="200">
        <v>3599043</v>
      </c>
      <c r="E51" s="200">
        <v>279598</v>
      </c>
      <c r="F51" s="201">
        <v>344400</v>
      </c>
      <c r="G51" s="200">
        <v>444601</v>
      </c>
      <c r="H51" s="201">
        <v>463286</v>
      </c>
      <c r="I51" s="200">
        <v>347700</v>
      </c>
      <c r="J51" s="201">
        <v>339000</v>
      </c>
      <c r="K51" s="200">
        <v>293400</v>
      </c>
      <c r="L51" s="201">
        <v>301700</v>
      </c>
      <c r="M51" s="200">
        <v>298000</v>
      </c>
      <c r="N51" s="201">
        <v>229356</v>
      </c>
      <c r="O51" s="200">
        <f>119158+13957</f>
        <v>133115</v>
      </c>
      <c r="P51" s="200">
        <f>110929+13958</f>
        <v>124887</v>
      </c>
      <c r="Q51" s="169">
        <f t="shared" si="2"/>
        <v>3599043</v>
      </c>
    </row>
    <row r="52" spans="1:17" s="170" customFormat="1">
      <c r="A52" s="190"/>
      <c r="B52" s="188" t="s">
        <v>178</v>
      </c>
      <c r="C52" s="192">
        <v>80105</v>
      </c>
      <c r="D52" s="200">
        <v>499958</v>
      </c>
      <c r="E52" s="200">
        <v>37008</v>
      </c>
      <c r="F52" s="201">
        <v>46878</v>
      </c>
      <c r="G52" s="200">
        <v>64256</v>
      </c>
      <c r="H52" s="201">
        <v>64429</v>
      </c>
      <c r="I52" s="200">
        <v>49700</v>
      </c>
      <c r="J52" s="201">
        <v>47711</v>
      </c>
      <c r="K52" s="200">
        <v>42700</v>
      </c>
      <c r="L52" s="201">
        <v>42700</v>
      </c>
      <c r="M52" s="200">
        <v>42700</v>
      </c>
      <c r="N52" s="201">
        <v>31700</v>
      </c>
      <c r="O52" s="200">
        <f>12340+3614</f>
        <v>15954</v>
      </c>
      <c r="P52" s="200">
        <f>10607+3615</f>
        <v>14222</v>
      </c>
      <c r="Q52" s="171">
        <f t="shared" si="2"/>
        <v>499958</v>
      </c>
    </row>
    <row r="53" spans="1:17" s="170" customFormat="1">
      <c r="A53" s="202"/>
      <c r="B53" s="188" t="s">
        <v>179</v>
      </c>
      <c r="C53" s="192">
        <v>80110</v>
      </c>
      <c r="D53" s="67">
        <f>SUM(D54:D55)</f>
        <v>308929</v>
      </c>
      <c r="E53" s="67">
        <f t="shared" ref="E53:P53" si="25">SUM(E54:E55)</f>
        <v>21491</v>
      </c>
      <c r="F53" s="67">
        <f t="shared" si="25"/>
        <v>29098</v>
      </c>
      <c r="G53" s="67">
        <f t="shared" si="25"/>
        <v>44359</v>
      </c>
      <c r="H53" s="67">
        <f t="shared" si="25"/>
        <v>34656</v>
      </c>
      <c r="I53" s="67">
        <f t="shared" si="25"/>
        <v>23283</v>
      </c>
      <c r="J53" s="67">
        <f t="shared" si="25"/>
        <v>22278</v>
      </c>
      <c r="K53" s="67">
        <f t="shared" si="25"/>
        <v>22278</v>
      </c>
      <c r="L53" s="67">
        <f t="shared" si="25"/>
        <v>22377</v>
      </c>
      <c r="M53" s="67">
        <f t="shared" si="25"/>
        <v>22282</v>
      </c>
      <c r="N53" s="67">
        <f t="shared" si="25"/>
        <v>22277</v>
      </c>
      <c r="O53" s="67">
        <f t="shared" si="25"/>
        <v>22276</v>
      </c>
      <c r="P53" s="67">
        <f t="shared" si="25"/>
        <v>22274</v>
      </c>
      <c r="Q53" s="171">
        <f t="shared" si="2"/>
        <v>308929</v>
      </c>
    </row>
    <row r="54" spans="1:17" s="170" customFormat="1">
      <c r="A54" s="190"/>
      <c r="B54" s="191" t="s">
        <v>211</v>
      </c>
      <c r="C54" s="192"/>
      <c r="D54" s="67">
        <v>276466</v>
      </c>
      <c r="E54" s="67">
        <v>20110</v>
      </c>
      <c r="F54" s="173">
        <v>26637</v>
      </c>
      <c r="G54" s="67">
        <v>37764</v>
      </c>
      <c r="H54" s="173">
        <v>33913</v>
      </c>
      <c r="I54" s="67">
        <f>21280-657</f>
        <v>20623</v>
      </c>
      <c r="J54" s="173">
        <f>20275-657</f>
        <v>19618</v>
      </c>
      <c r="K54" s="67">
        <f>20275-657</f>
        <v>19618</v>
      </c>
      <c r="L54" s="173">
        <f>20375-658</f>
        <v>19717</v>
      </c>
      <c r="M54" s="67">
        <f>20280-658</f>
        <v>19622</v>
      </c>
      <c r="N54" s="173">
        <f>20275-658</f>
        <v>19617</v>
      </c>
      <c r="O54" s="67">
        <f>20275-659</f>
        <v>19616</v>
      </c>
      <c r="P54" s="67">
        <f>20270-659</f>
        <v>19611</v>
      </c>
      <c r="Q54" s="169">
        <f t="shared" si="2"/>
        <v>276466</v>
      </c>
    </row>
    <row r="55" spans="1:17" s="170" customFormat="1">
      <c r="A55" s="190"/>
      <c r="B55" s="191" t="s">
        <v>212</v>
      </c>
      <c r="C55" s="192"/>
      <c r="D55" s="67">
        <v>32463</v>
      </c>
      <c r="E55" s="67">
        <v>1381</v>
      </c>
      <c r="F55" s="173">
        <v>2461</v>
      </c>
      <c r="G55" s="67">
        <v>6595</v>
      </c>
      <c r="H55" s="173">
        <v>743</v>
      </c>
      <c r="I55" s="67">
        <f t="shared" ref="I55:O55" si="26">2235+425</f>
        <v>2660</v>
      </c>
      <c r="J55" s="173">
        <f t="shared" si="26"/>
        <v>2660</v>
      </c>
      <c r="K55" s="67">
        <f t="shared" si="26"/>
        <v>2660</v>
      </c>
      <c r="L55" s="173">
        <f t="shared" si="26"/>
        <v>2660</v>
      </c>
      <c r="M55" s="67">
        <f t="shared" si="26"/>
        <v>2660</v>
      </c>
      <c r="N55" s="173">
        <f t="shared" si="26"/>
        <v>2660</v>
      </c>
      <c r="O55" s="67">
        <f t="shared" si="26"/>
        <v>2660</v>
      </c>
      <c r="P55" s="67">
        <f>2237+426</f>
        <v>2663</v>
      </c>
      <c r="Q55" s="169">
        <f t="shared" si="2"/>
        <v>32463</v>
      </c>
    </row>
    <row r="56" spans="1:17" s="170" customFormat="1">
      <c r="A56" s="190"/>
      <c r="B56" s="188" t="s">
        <v>180</v>
      </c>
      <c r="C56" s="192">
        <v>80111</v>
      </c>
      <c r="D56" s="200">
        <v>621757</v>
      </c>
      <c r="E56" s="200">
        <v>49704</v>
      </c>
      <c r="F56" s="201">
        <v>58152</v>
      </c>
      <c r="G56" s="200">
        <v>77901</v>
      </c>
      <c r="H56" s="201">
        <v>78110</v>
      </c>
      <c r="I56" s="200">
        <v>60500</v>
      </c>
      <c r="J56" s="201">
        <v>59683</v>
      </c>
      <c r="K56" s="200">
        <v>53500</v>
      </c>
      <c r="L56" s="201">
        <v>53500</v>
      </c>
      <c r="M56" s="200">
        <v>43500</v>
      </c>
      <c r="N56" s="201">
        <v>38157</v>
      </c>
      <c r="O56" s="200">
        <f>19317+5866</f>
        <v>25183</v>
      </c>
      <c r="P56" s="200">
        <f>18000+5867</f>
        <v>23867</v>
      </c>
      <c r="Q56" s="169">
        <f t="shared" si="2"/>
        <v>621757</v>
      </c>
    </row>
    <row r="57" spans="1:17" s="170" customFormat="1">
      <c r="A57" s="202"/>
      <c r="B57" s="188" t="s">
        <v>114</v>
      </c>
      <c r="C57" s="192">
        <v>80120</v>
      </c>
      <c r="D57" s="67">
        <f>SUM(D58+D59+D60+D61+D62+D63)</f>
        <v>7259437</v>
      </c>
      <c r="E57" s="67">
        <f t="shared" ref="E57" si="27">SUM(E58+E59+E60+E61+E62+E63)</f>
        <v>577993</v>
      </c>
      <c r="F57" s="173">
        <f t="shared" ref="F57:P57" si="28">SUM(F58+F59+F60+F61+F62+F63)</f>
        <v>639241</v>
      </c>
      <c r="G57" s="67">
        <f t="shared" si="28"/>
        <v>918040</v>
      </c>
      <c r="H57" s="173">
        <f t="shared" si="28"/>
        <v>832576</v>
      </c>
      <c r="I57" s="67">
        <f t="shared" si="28"/>
        <v>722200</v>
      </c>
      <c r="J57" s="173">
        <f t="shared" si="28"/>
        <v>624795</v>
      </c>
      <c r="K57" s="67">
        <f t="shared" si="28"/>
        <v>562881</v>
      </c>
      <c r="L57" s="173">
        <f t="shared" si="28"/>
        <v>579030</v>
      </c>
      <c r="M57" s="67">
        <f t="shared" si="28"/>
        <v>552401</v>
      </c>
      <c r="N57" s="173">
        <f t="shared" si="28"/>
        <v>442884</v>
      </c>
      <c r="O57" s="67">
        <f t="shared" si="28"/>
        <v>403020</v>
      </c>
      <c r="P57" s="67">
        <f t="shared" si="28"/>
        <v>404376</v>
      </c>
      <c r="Q57" s="169">
        <f t="shared" si="2"/>
        <v>7259437</v>
      </c>
    </row>
    <row r="58" spans="1:17" s="170" customFormat="1">
      <c r="A58" s="190"/>
      <c r="B58" s="191" t="s">
        <v>213</v>
      </c>
      <c r="C58" s="192"/>
      <c r="D58" s="70">
        <v>2938822</v>
      </c>
      <c r="E58" s="67">
        <v>236628</v>
      </c>
      <c r="F58" s="173">
        <v>281253</v>
      </c>
      <c r="G58" s="73">
        <v>394243</v>
      </c>
      <c r="H58" s="193">
        <v>330163</v>
      </c>
      <c r="I58" s="73">
        <v>285050</v>
      </c>
      <c r="J58" s="193">
        <f>255050+15000</f>
        <v>270050</v>
      </c>
      <c r="K58" s="73">
        <v>235030</v>
      </c>
      <c r="L58" s="193">
        <v>250385</v>
      </c>
      <c r="M58" s="73">
        <f>153050+22151</f>
        <v>175201</v>
      </c>
      <c r="N58" s="193">
        <f>141369+22151</f>
        <v>163520</v>
      </c>
      <c r="O58" s="73">
        <f>137400+22152</f>
        <v>159552</v>
      </c>
      <c r="P58" s="73">
        <f>135595+22152</f>
        <v>157747</v>
      </c>
      <c r="Q58" s="171">
        <f t="shared" si="2"/>
        <v>2938822</v>
      </c>
    </row>
    <row r="59" spans="1:17" s="172" customFormat="1">
      <c r="A59" s="190"/>
      <c r="B59" s="191" t="s">
        <v>214</v>
      </c>
      <c r="C59" s="192"/>
      <c r="D59" s="67">
        <f>2028664+15000</f>
        <v>2043664</v>
      </c>
      <c r="E59" s="67">
        <v>171966</v>
      </c>
      <c r="F59" s="173">
        <v>174253</v>
      </c>
      <c r="G59" s="67">
        <v>265895</v>
      </c>
      <c r="H59" s="173">
        <v>246638</v>
      </c>
      <c r="I59" s="67">
        <f>255245-4681</f>
        <v>250564</v>
      </c>
      <c r="J59" s="173">
        <f>166272-4681+15000</f>
        <v>176591</v>
      </c>
      <c r="K59" s="67">
        <f>159000-4681</f>
        <v>154319</v>
      </c>
      <c r="L59" s="173">
        <f>159000-4681</f>
        <v>154319</v>
      </c>
      <c r="M59" s="67">
        <f>204899-4680</f>
        <v>200219</v>
      </c>
      <c r="N59" s="173">
        <f>105000-4680</f>
        <v>100320</v>
      </c>
      <c r="O59" s="67">
        <f>80905-4680</f>
        <v>76225</v>
      </c>
      <c r="P59" s="67">
        <f>71725-4680+5310</f>
        <v>72355</v>
      </c>
      <c r="Q59" s="171">
        <f t="shared" si="2"/>
        <v>2043664</v>
      </c>
    </row>
    <row r="60" spans="1:17" s="170" customFormat="1">
      <c r="A60" s="203"/>
      <c r="B60" s="204" t="s">
        <v>211</v>
      </c>
      <c r="C60" s="205"/>
      <c r="D60" s="206">
        <v>547279</v>
      </c>
      <c r="E60" s="207">
        <v>41759</v>
      </c>
      <c r="F60" s="208">
        <v>48748</v>
      </c>
      <c r="G60" s="207">
        <v>73128</v>
      </c>
      <c r="H60" s="208">
        <v>70719</v>
      </c>
      <c r="I60" s="207">
        <v>45060</v>
      </c>
      <c r="J60" s="208">
        <v>39544</v>
      </c>
      <c r="K60" s="207">
        <v>36728</v>
      </c>
      <c r="L60" s="208">
        <v>36728</v>
      </c>
      <c r="M60" s="207">
        <v>39330</v>
      </c>
      <c r="N60" s="208">
        <v>39338</v>
      </c>
      <c r="O60" s="207">
        <f>39328-1453</f>
        <v>37875</v>
      </c>
      <c r="P60" s="207">
        <f>39774-1452</f>
        <v>38322</v>
      </c>
      <c r="Q60" s="169">
        <f t="shared" si="2"/>
        <v>547279</v>
      </c>
    </row>
    <row r="61" spans="1:17" s="170" customFormat="1">
      <c r="A61" s="190"/>
      <c r="B61" s="191" t="s">
        <v>215</v>
      </c>
      <c r="C61" s="192"/>
      <c r="D61" s="181">
        <v>957423</v>
      </c>
      <c r="E61" s="181">
        <v>66250</v>
      </c>
      <c r="F61" s="189">
        <v>75243</v>
      </c>
      <c r="G61" s="181">
        <v>118446</v>
      </c>
      <c r="H61" s="189">
        <v>114548</v>
      </c>
      <c r="I61" s="181">
        <f>97955-3629</f>
        <v>94326</v>
      </c>
      <c r="J61" s="189">
        <f>76459-3629</f>
        <v>72830</v>
      </c>
      <c r="K61" s="181">
        <f>74653-3629</f>
        <v>71024</v>
      </c>
      <c r="L61" s="189">
        <f>75447-3629</f>
        <v>71818</v>
      </c>
      <c r="M61" s="181">
        <f>75496-3629</f>
        <v>71867</v>
      </c>
      <c r="N61" s="189">
        <f>70196-3629</f>
        <v>66567</v>
      </c>
      <c r="O61" s="181">
        <f>67650-3629</f>
        <v>64021</v>
      </c>
      <c r="P61" s="181">
        <f>74113-3630</f>
        <v>70483</v>
      </c>
      <c r="Q61" s="169">
        <f>SUM(E61:P61)</f>
        <v>957423</v>
      </c>
    </row>
    <row r="62" spans="1:17" s="170" customFormat="1">
      <c r="A62" s="202"/>
      <c r="B62" s="191" t="s">
        <v>216</v>
      </c>
      <c r="C62" s="192"/>
      <c r="D62" s="58">
        <v>413905</v>
      </c>
      <c r="E62" s="67">
        <v>34223</v>
      </c>
      <c r="F62" s="173">
        <v>33337</v>
      </c>
      <c r="G62" s="67">
        <v>49953</v>
      </c>
      <c r="H62" s="173">
        <v>46310</v>
      </c>
      <c r="I62" s="67">
        <f>32434-2001</f>
        <v>30433</v>
      </c>
      <c r="J62" s="173">
        <f>32434-2001</f>
        <v>30433</v>
      </c>
      <c r="K62" s="67">
        <f>32434-2001</f>
        <v>30433</v>
      </c>
      <c r="L62" s="173">
        <f>32434-2001</f>
        <v>30433</v>
      </c>
      <c r="M62" s="67">
        <f>32438-2001</f>
        <v>30437</v>
      </c>
      <c r="N62" s="173">
        <f>39793-2001</f>
        <v>37792</v>
      </c>
      <c r="O62" s="67">
        <f>32000-2000</f>
        <v>30000</v>
      </c>
      <c r="P62" s="67">
        <f>32124-2003</f>
        <v>30121</v>
      </c>
      <c r="Q62" s="169">
        <f t="shared" si="2"/>
        <v>413905</v>
      </c>
    </row>
    <row r="63" spans="1:17" s="170" customFormat="1">
      <c r="A63" s="190"/>
      <c r="B63" s="191" t="s">
        <v>217</v>
      </c>
      <c r="C63" s="192"/>
      <c r="D63" s="67">
        <v>358344</v>
      </c>
      <c r="E63" s="67">
        <v>27167</v>
      </c>
      <c r="F63" s="173">
        <v>26407</v>
      </c>
      <c r="G63" s="67">
        <v>16375</v>
      </c>
      <c r="H63" s="173">
        <v>24198</v>
      </c>
      <c r="I63" s="67">
        <v>16767</v>
      </c>
      <c r="J63" s="173">
        <v>35347</v>
      </c>
      <c r="K63" s="67">
        <v>35347</v>
      </c>
      <c r="L63" s="173">
        <v>35347</v>
      </c>
      <c r="M63" s="67">
        <v>35347</v>
      </c>
      <c r="N63" s="173">
        <v>35347</v>
      </c>
      <c r="O63" s="67">
        <v>35347</v>
      </c>
      <c r="P63" s="67">
        <v>35348</v>
      </c>
      <c r="Q63" s="169">
        <f t="shared" si="2"/>
        <v>358344</v>
      </c>
    </row>
    <row r="64" spans="1:17" s="170" customFormat="1">
      <c r="A64" s="190"/>
      <c r="B64" s="188" t="s">
        <v>117</v>
      </c>
      <c r="C64" s="192">
        <v>80130</v>
      </c>
      <c r="D64" s="67">
        <f t="shared" ref="D64:P64" si="29">SUM(D65:D70)</f>
        <v>11350917</v>
      </c>
      <c r="E64" s="67">
        <f t="shared" si="29"/>
        <v>1006257</v>
      </c>
      <c r="F64" s="173">
        <f t="shared" si="29"/>
        <v>1005039</v>
      </c>
      <c r="G64" s="67">
        <f t="shared" si="29"/>
        <v>1388735</v>
      </c>
      <c r="H64" s="173">
        <f t="shared" si="29"/>
        <v>1292385</v>
      </c>
      <c r="I64" s="67">
        <f t="shared" si="29"/>
        <v>928733</v>
      </c>
      <c r="J64" s="173">
        <f t="shared" si="29"/>
        <v>904331</v>
      </c>
      <c r="K64" s="67">
        <f t="shared" si="29"/>
        <v>862948</v>
      </c>
      <c r="L64" s="173">
        <f t="shared" si="29"/>
        <v>865034</v>
      </c>
      <c r="M64" s="67">
        <f t="shared" si="29"/>
        <v>949782</v>
      </c>
      <c r="N64" s="173">
        <f t="shared" si="29"/>
        <v>873463</v>
      </c>
      <c r="O64" s="67">
        <f t="shared" si="29"/>
        <v>701400</v>
      </c>
      <c r="P64" s="67">
        <f t="shared" si="29"/>
        <v>572810</v>
      </c>
      <c r="Q64" s="169">
        <f t="shared" si="2"/>
        <v>11350917</v>
      </c>
    </row>
    <row r="65" spans="1:17" s="170" customFormat="1">
      <c r="A65" s="190"/>
      <c r="B65" s="191" t="s">
        <v>212</v>
      </c>
      <c r="C65" s="192"/>
      <c r="D65" s="70">
        <v>3341084</v>
      </c>
      <c r="E65" s="67">
        <v>296063</v>
      </c>
      <c r="F65" s="173">
        <v>328311</v>
      </c>
      <c r="G65" s="73">
        <v>415768</v>
      </c>
      <c r="H65" s="193">
        <v>374209</v>
      </c>
      <c r="I65" s="73">
        <v>260500</v>
      </c>
      <c r="J65" s="193">
        <v>240500</v>
      </c>
      <c r="K65" s="73">
        <v>230500</v>
      </c>
      <c r="L65" s="193">
        <v>230500</v>
      </c>
      <c r="M65" s="73">
        <v>272820</v>
      </c>
      <c r="N65" s="193">
        <v>255269</v>
      </c>
      <c r="O65" s="73">
        <f>191461+46316</f>
        <v>237777</v>
      </c>
      <c r="P65" s="73">
        <f>152550+46317</f>
        <v>198867</v>
      </c>
      <c r="Q65" s="169">
        <f t="shared" si="2"/>
        <v>3341084</v>
      </c>
    </row>
    <row r="66" spans="1:17" s="172" customFormat="1">
      <c r="A66" s="190"/>
      <c r="B66" s="191" t="s">
        <v>218</v>
      </c>
      <c r="C66" s="192"/>
      <c r="D66" s="58">
        <v>3474847</v>
      </c>
      <c r="E66" s="67">
        <v>341435</v>
      </c>
      <c r="F66" s="173">
        <v>307100</v>
      </c>
      <c r="G66" s="73">
        <v>512621</v>
      </c>
      <c r="H66" s="193">
        <v>457187</v>
      </c>
      <c r="I66" s="73">
        <v>311000</v>
      </c>
      <c r="J66" s="193">
        <v>273000</v>
      </c>
      <c r="K66" s="73">
        <v>277078</v>
      </c>
      <c r="L66" s="193">
        <v>280000</v>
      </c>
      <c r="M66" s="73">
        <v>301300</v>
      </c>
      <c r="N66" s="193">
        <v>268000</v>
      </c>
      <c r="O66" s="73">
        <v>119020</v>
      </c>
      <c r="P66" s="73">
        <f>966+26140</f>
        <v>27106</v>
      </c>
      <c r="Q66" s="171">
        <f t="shared" si="2"/>
        <v>3474847</v>
      </c>
    </row>
    <row r="67" spans="1:17" s="170" customFormat="1">
      <c r="A67" s="190"/>
      <c r="B67" s="191" t="s">
        <v>211</v>
      </c>
      <c r="C67" s="192"/>
      <c r="D67" s="181">
        <v>2152061</v>
      </c>
      <c r="E67" s="181">
        <v>184666</v>
      </c>
      <c r="F67" s="189">
        <v>194262</v>
      </c>
      <c r="G67" s="181">
        <v>248767</v>
      </c>
      <c r="H67" s="189">
        <v>227657</v>
      </c>
      <c r="I67" s="181">
        <f>171088+4184</f>
        <v>175272</v>
      </c>
      <c r="J67" s="189">
        <f>153788+4184+25000</f>
        <v>182972</v>
      </c>
      <c r="K67" s="181">
        <f>140738+4184+2900</f>
        <v>147822</v>
      </c>
      <c r="L67" s="189">
        <f>140165+4184+2900</f>
        <v>147249</v>
      </c>
      <c r="M67" s="181">
        <f>153788+4184+2900</f>
        <v>160872</v>
      </c>
      <c r="N67" s="189">
        <f>153788+4184+2900</f>
        <v>160872</v>
      </c>
      <c r="O67" s="181">
        <f>153738+4185+2900</f>
        <v>160823</v>
      </c>
      <c r="P67" s="181">
        <f>153742+4185+2900</f>
        <v>160827</v>
      </c>
      <c r="Q67" s="169">
        <f t="shared" si="2"/>
        <v>2152061</v>
      </c>
    </row>
    <row r="68" spans="1:17" s="170" customFormat="1">
      <c r="A68" s="190"/>
      <c r="B68" s="191" t="s">
        <v>215</v>
      </c>
      <c r="C68" s="192"/>
      <c r="D68" s="209">
        <v>1013823</v>
      </c>
      <c r="E68" s="181">
        <v>78111</v>
      </c>
      <c r="F68" s="189">
        <v>78726</v>
      </c>
      <c r="G68" s="209">
        <v>121864</v>
      </c>
      <c r="H68" s="210">
        <v>132678</v>
      </c>
      <c r="I68" s="209">
        <f>97757+8478</f>
        <v>106235</v>
      </c>
      <c r="J68" s="210">
        <v>77402</v>
      </c>
      <c r="K68" s="209">
        <v>78303</v>
      </c>
      <c r="L68" s="210">
        <v>78040</v>
      </c>
      <c r="M68" s="209">
        <v>85545</v>
      </c>
      <c r="N68" s="210">
        <v>61480</v>
      </c>
      <c r="O68" s="209">
        <f>54295+2740</f>
        <v>57035</v>
      </c>
      <c r="P68" s="209">
        <f>55664+2740</f>
        <v>58404</v>
      </c>
      <c r="Q68" s="169">
        <f t="shared" si="2"/>
        <v>1013823</v>
      </c>
    </row>
    <row r="69" spans="1:17" s="170" customFormat="1">
      <c r="A69" s="202"/>
      <c r="B69" s="191" t="s">
        <v>216</v>
      </c>
      <c r="C69" s="192"/>
      <c r="D69" s="58">
        <v>172622</v>
      </c>
      <c r="E69" s="67">
        <v>12829</v>
      </c>
      <c r="F69" s="173">
        <v>5503</v>
      </c>
      <c r="G69" s="67">
        <v>20838</v>
      </c>
      <c r="H69" s="173">
        <v>12052</v>
      </c>
      <c r="I69" s="67">
        <v>12500</v>
      </c>
      <c r="J69" s="173">
        <v>17388</v>
      </c>
      <c r="K69" s="67">
        <f>12500+3676</f>
        <v>16176</v>
      </c>
      <c r="L69" s="173">
        <f>12500+3676</f>
        <v>16176</v>
      </c>
      <c r="M69" s="67">
        <f>12500+3676</f>
        <v>16176</v>
      </c>
      <c r="N69" s="173">
        <f>11097+3676</f>
        <v>14773</v>
      </c>
      <c r="O69" s="67">
        <f>12500+3676-2500</f>
        <v>13676</v>
      </c>
      <c r="P69" s="67">
        <f>13362+3673-2500</f>
        <v>14535</v>
      </c>
      <c r="Q69" s="169">
        <f t="shared" si="2"/>
        <v>172622</v>
      </c>
    </row>
    <row r="70" spans="1:17" s="172" customFormat="1">
      <c r="A70" s="190"/>
      <c r="B70" s="191" t="s">
        <v>217</v>
      </c>
      <c r="C70" s="192"/>
      <c r="D70" s="67">
        <v>1196480</v>
      </c>
      <c r="E70" s="67">
        <v>93153</v>
      </c>
      <c r="F70" s="173">
        <v>91137</v>
      </c>
      <c r="G70" s="67">
        <v>68877</v>
      </c>
      <c r="H70" s="173">
        <v>88602</v>
      </c>
      <c r="I70" s="67">
        <v>63226</v>
      </c>
      <c r="J70" s="173">
        <v>113069</v>
      </c>
      <c r="K70" s="67">
        <v>113069</v>
      </c>
      <c r="L70" s="173">
        <v>113069</v>
      </c>
      <c r="M70" s="67">
        <v>113069</v>
      </c>
      <c r="N70" s="173">
        <v>113069</v>
      </c>
      <c r="O70" s="67">
        <v>113069</v>
      </c>
      <c r="P70" s="67">
        <v>113071</v>
      </c>
      <c r="Q70" s="171">
        <f t="shared" si="2"/>
        <v>1196480</v>
      </c>
    </row>
    <row r="71" spans="1:17" s="170" customFormat="1">
      <c r="A71" s="190"/>
      <c r="B71" s="188" t="s">
        <v>181</v>
      </c>
      <c r="C71" s="192">
        <v>80134</v>
      </c>
      <c r="D71" s="67">
        <v>1157934</v>
      </c>
      <c r="E71" s="200">
        <v>103017</v>
      </c>
      <c r="F71" s="201">
        <v>108719</v>
      </c>
      <c r="G71" s="200">
        <v>148433</v>
      </c>
      <c r="H71" s="201">
        <v>148054</v>
      </c>
      <c r="I71" s="200">
        <v>110600</v>
      </c>
      <c r="J71" s="201">
        <v>108256</v>
      </c>
      <c r="K71" s="200">
        <v>98900</v>
      </c>
      <c r="L71" s="201">
        <v>98900</v>
      </c>
      <c r="M71" s="200">
        <v>98900</v>
      </c>
      <c r="N71" s="201">
        <v>51900</v>
      </c>
      <c r="O71" s="200">
        <v>40278</v>
      </c>
      <c r="P71" s="200">
        <f>38000+3977</f>
        <v>41977</v>
      </c>
      <c r="Q71" s="169">
        <f t="shared" si="2"/>
        <v>1157934</v>
      </c>
    </row>
    <row r="72" spans="1:17" s="170" customFormat="1">
      <c r="A72" s="190"/>
      <c r="B72" s="188" t="s">
        <v>123</v>
      </c>
      <c r="C72" s="192">
        <v>80144</v>
      </c>
      <c r="D72" s="181">
        <v>129000</v>
      </c>
      <c r="E72" s="181">
        <v>6598</v>
      </c>
      <c r="F72" s="189">
        <v>7426</v>
      </c>
      <c r="G72" s="181">
        <v>9788</v>
      </c>
      <c r="H72" s="189">
        <v>10360</v>
      </c>
      <c r="I72" s="181">
        <f>10400+1233</f>
        <v>11633</v>
      </c>
      <c r="J72" s="189">
        <f>10400+1233</f>
        <v>11633</v>
      </c>
      <c r="K72" s="181">
        <f>10400+1233</f>
        <v>11633</v>
      </c>
      <c r="L72" s="189">
        <f>10400+1234</f>
        <v>11634</v>
      </c>
      <c r="M72" s="181">
        <f>10400+1234</f>
        <v>11634</v>
      </c>
      <c r="N72" s="189">
        <f>12159+1234</f>
        <v>13393</v>
      </c>
      <c r="O72" s="181">
        <f>10400+1234</f>
        <v>11634</v>
      </c>
      <c r="P72" s="181">
        <f>10400+1234</f>
        <v>11634</v>
      </c>
      <c r="Q72" s="169">
        <f t="shared" si="2"/>
        <v>129000</v>
      </c>
    </row>
    <row r="73" spans="1:17" s="170" customFormat="1">
      <c r="A73" s="202"/>
      <c r="B73" s="188" t="s">
        <v>182</v>
      </c>
      <c r="C73" s="192">
        <v>80146</v>
      </c>
      <c r="D73" s="67">
        <v>157316</v>
      </c>
      <c r="E73" s="67"/>
      <c r="F73" s="173"/>
      <c r="G73" s="67"/>
      <c r="H73" s="173"/>
      <c r="I73" s="67"/>
      <c r="J73" s="173"/>
      <c r="K73" s="67"/>
      <c r="L73" s="173"/>
      <c r="M73" s="67"/>
      <c r="N73" s="173"/>
      <c r="O73" s="67"/>
      <c r="P73" s="67">
        <v>157316</v>
      </c>
      <c r="Q73" s="169">
        <f t="shared" si="2"/>
        <v>157316</v>
      </c>
    </row>
    <row r="74" spans="1:17" s="170" customFormat="1">
      <c r="A74" s="190"/>
      <c r="B74" s="188" t="s">
        <v>124</v>
      </c>
      <c r="C74" s="192">
        <v>80148</v>
      </c>
      <c r="D74" s="200">
        <v>122517</v>
      </c>
      <c r="E74" s="200">
        <v>6555</v>
      </c>
      <c r="F74" s="201">
        <v>13140</v>
      </c>
      <c r="G74" s="200">
        <v>15091</v>
      </c>
      <c r="H74" s="201">
        <v>12830</v>
      </c>
      <c r="I74" s="200">
        <v>12938</v>
      </c>
      <c r="J74" s="201">
        <v>12250</v>
      </c>
      <c r="K74" s="200">
        <v>5400</v>
      </c>
      <c r="L74" s="201">
        <v>5400</v>
      </c>
      <c r="M74" s="200">
        <v>11600</v>
      </c>
      <c r="N74" s="201">
        <v>11500</v>
      </c>
      <c r="O74" s="200">
        <v>8900</v>
      </c>
      <c r="P74" s="200">
        <f>5329+1584</f>
        <v>6913</v>
      </c>
      <c r="Q74" s="169">
        <f t="shared" si="2"/>
        <v>122517</v>
      </c>
    </row>
    <row r="75" spans="1:17" s="170" customFormat="1">
      <c r="A75" s="190"/>
      <c r="B75" s="188" t="s">
        <v>183</v>
      </c>
      <c r="C75" s="192">
        <v>80150</v>
      </c>
      <c r="D75" s="200">
        <f>SUM(D76:D80)</f>
        <v>215170</v>
      </c>
      <c r="E75" s="200">
        <f t="shared" ref="E75:F75" si="30">SUM(E76:E80)</f>
        <v>14304</v>
      </c>
      <c r="F75" s="200">
        <f t="shared" si="30"/>
        <v>12726</v>
      </c>
      <c r="G75" s="200">
        <f t="shared" ref="G75:P75" si="31">SUM(G76:G80)</f>
        <v>37103</v>
      </c>
      <c r="H75" s="200">
        <f t="shared" si="31"/>
        <v>36274</v>
      </c>
      <c r="I75" s="200">
        <f t="shared" si="31"/>
        <v>17756</v>
      </c>
      <c r="J75" s="200">
        <f t="shared" si="31"/>
        <v>17373</v>
      </c>
      <c r="K75" s="200">
        <f t="shared" si="31"/>
        <v>17529</v>
      </c>
      <c r="L75" s="200">
        <f t="shared" si="31"/>
        <v>15895</v>
      </c>
      <c r="M75" s="200">
        <f t="shared" si="31"/>
        <v>12043</v>
      </c>
      <c r="N75" s="200">
        <f t="shared" si="31"/>
        <v>11376</v>
      </c>
      <c r="O75" s="200">
        <f t="shared" si="31"/>
        <v>11179</v>
      </c>
      <c r="P75" s="200">
        <f t="shared" si="31"/>
        <v>11612</v>
      </c>
      <c r="Q75" s="169">
        <f t="shared" si="2"/>
        <v>215170</v>
      </c>
    </row>
    <row r="76" spans="1:17" s="170" customFormat="1">
      <c r="A76" s="190"/>
      <c r="B76" s="191" t="s">
        <v>213</v>
      </c>
      <c r="C76" s="192"/>
      <c r="D76" s="200">
        <v>38737</v>
      </c>
      <c r="E76" s="200">
        <v>4390</v>
      </c>
      <c r="F76" s="201">
        <v>4856</v>
      </c>
      <c r="G76" s="200">
        <v>10059</v>
      </c>
      <c r="H76" s="201">
        <v>8611</v>
      </c>
      <c r="I76" s="200">
        <f>5000-2295</f>
        <v>2705</v>
      </c>
      <c r="J76" s="201">
        <f>5000-2295</f>
        <v>2705</v>
      </c>
      <c r="K76" s="200">
        <f>5000-2295</f>
        <v>2705</v>
      </c>
      <c r="L76" s="201">
        <f>5000-2294</f>
        <v>2706</v>
      </c>
      <c r="M76" s="200"/>
      <c r="N76" s="201"/>
      <c r="O76" s="200"/>
      <c r="P76" s="200"/>
      <c r="Q76" s="169">
        <f t="shared" ref="Q76:Q141" si="32">SUM(E76:P76)</f>
        <v>38737</v>
      </c>
    </row>
    <row r="77" spans="1:17" s="170" customFormat="1">
      <c r="A77" s="190"/>
      <c r="B77" s="191" t="s">
        <v>214</v>
      </c>
      <c r="C77" s="192"/>
      <c r="D77" s="200">
        <v>60861</v>
      </c>
      <c r="E77" s="200">
        <v>3436</v>
      </c>
      <c r="F77" s="201">
        <v>4908</v>
      </c>
      <c r="G77" s="200">
        <v>7302</v>
      </c>
      <c r="H77" s="201">
        <v>6586</v>
      </c>
      <c r="I77" s="200">
        <v>6350</v>
      </c>
      <c r="J77" s="201">
        <v>6392</v>
      </c>
      <c r="K77" s="200">
        <v>6350</v>
      </c>
      <c r="L77" s="201">
        <f>4600+745</f>
        <v>5345</v>
      </c>
      <c r="M77" s="200">
        <f>3500+745</f>
        <v>4245</v>
      </c>
      <c r="N77" s="201">
        <f>2900+745</f>
        <v>3645</v>
      </c>
      <c r="O77" s="200">
        <f>2428+745</f>
        <v>3173</v>
      </c>
      <c r="P77" s="200">
        <f>2383+746</f>
        <v>3129</v>
      </c>
      <c r="Q77" s="169">
        <f t="shared" si="32"/>
        <v>60861</v>
      </c>
    </row>
    <row r="78" spans="1:17" s="170" customFormat="1">
      <c r="A78" s="190"/>
      <c r="B78" s="191" t="s">
        <v>218</v>
      </c>
      <c r="C78" s="192"/>
      <c r="D78" s="200">
        <v>74862</v>
      </c>
      <c r="E78" s="200">
        <v>3978</v>
      </c>
      <c r="F78" s="201">
        <v>0</v>
      </c>
      <c r="G78" s="200">
        <v>15728</v>
      </c>
      <c r="H78" s="201">
        <v>17279</v>
      </c>
      <c r="I78" s="200">
        <f>6400-1656</f>
        <v>4744</v>
      </c>
      <c r="J78" s="201">
        <f>6400-1656</f>
        <v>4744</v>
      </c>
      <c r="K78" s="200">
        <f>6400-1656</f>
        <v>4744</v>
      </c>
      <c r="L78" s="201">
        <f>6400-1656</f>
        <v>4744</v>
      </c>
      <c r="M78" s="200">
        <f>6400-1656</f>
        <v>4744</v>
      </c>
      <c r="N78" s="201">
        <f>6400-1655</f>
        <v>4745</v>
      </c>
      <c r="O78" s="200">
        <f>6400-1655</f>
        <v>4745</v>
      </c>
      <c r="P78" s="200">
        <f>6322-1655</f>
        <v>4667</v>
      </c>
      <c r="Q78" s="169">
        <f t="shared" si="32"/>
        <v>74862</v>
      </c>
    </row>
    <row r="79" spans="1:17" s="170" customFormat="1">
      <c r="A79" s="190"/>
      <c r="B79" s="191" t="s">
        <v>215</v>
      </c>
      <c r="C79" s="192"/>
      <c r="D79" s="200">
        <v>30403</v>
      </c>
      <c r="E79" s="200">
        <v>1955</v>
      </c>
      <c r="F79" s="201">
        <v>2087</v>
      </c>
      <c r="G79" s="200">
        <v>3163</v>
      </c>
      <c r="H79" s="201">
        <v>3349</v>
      </c>
      <c r="I79" s="200">
        <v>3082</v>
      </c>
      <c r="J79" s="201">
        <v>2657</v>
      </c>
      <c r="K79" s="200">
        <v>2855</v>
      </c>
      <c r="L79" s="201">
        <v>2225</v>
      </c>
      <c r="M79" s="200">
        <v>2179</v>
      </c>
      <c r="N79" s="201">
        <f>1613+498</f>
        <v>2111</v>
      </c>
      <c r="O79" s="200">
        <f>1887+499</f>
        <v>2386</v>
      </c>
      <c r="P79" s="200">
        <f>1855+499</f>
        <v>2354</v>
      </c>
      <c r="Q79" s="169">
        <f t="shared" si="32"/>
        <v>30403</v>
      </c>
    </row>
    <row r="80" spans="1:17" s="170" customFormat="1">
      <c r="A80" s="190"/>
      <c r="B80" s="191" t="s">
        <v>211</v>
      </c>
      <c r="C80" s="192"/>
      <c r="D80" s="200">
        <v>10307</v>
      </c>
      <c r="E80" s="200">
        <v>545</v>
      </c>
      <c r="F80" s="201">
        <v>875</v>
      </c>
      <c r="G80" s="200">
        <v>851</v>
      </c>
      <c r="H80" s="201">
        <v>449</v>
      </c>
      <c r="I80" s="200">
        <v>875</v>
      </c>
      <c r="J80" s="201">
        <v>875</v>
      </c>
      <c r="K80" s="200">
        <v>875</v>
      </c>
      <c r="L80" s="201">
        <v>875</v>
      </c>
      <c r="M80" s="200">
        <v>875</v>
      </c>
      <c r="N80" s="201">
        <v>875</v>
      </c>
      <c r="O80" s="200">
        <v>875</v>
      </c>
      <c r="P80" s="200">
        <f>883+579</f>
        <v>1462</v>
      </c>
      <c r="Q80" s="169">
        <f t="shared" si="32"/>
        <v>10307</v>
      </c>
    </row>
    <row r="81" spans="1:17" s="170" customFormat="1">
      <c r="A81" s="190"/>
      <c r="B81" s="188" t="s">
        <v>184</v>
      </c>
      <c r="C81" s="192">
        <v>80151</v>
      </c>
      <c r="D81" s="200">
        <f>SUM(D82:D83)</f>
        <v>429432</v>
      </c>
      <c r="E81" s="200">
        <f t="shared" ref="E81" si="33">SUM(E82:E83)</f>
        <v>24708</v>
      </c>
      <c r="F81" s="201">
        <f t="shared" ref="F81:P81" si="34">SUM(F82:F83)</f>
        <v>50689</v>
      </c>
      <c r="G81" s="200">
        <f t="shared" si="34"/>
        <v>22199</v>
      </c>
      <c r="H81" s="201">
        <f t="shared" si="34"/>
        <v>34068</v>
      </c>
      <c r="I81" s="200">
        <f t="shared" si="34"/>
        <v>37398</v>
      </c>
      <c r="J81" s="201">
        <f t="shared" si="34"/>
        <v>37010</v>
      </c>
      <c r="K81" s="200">
        <f t="shared" si="34"/>
        <v>36959</v>
      </c>
      <c r="L81" s="201">
        <f t="shared" si="34"/>
        <v>36959</v>
      </c>
      <c r="M81" s="200">
        <f t="shared" si="34"/>
        <v>37759</v>
      </c>
      <c r="N81" s="201">
        <f t="shared" si="34"/>
        <v>37759</v>
      </c>
      <c r="O81" s="200">
        <f t="shared" si="34"/>
        <v>36859</v>
      </c>
      <c r="P81" s="200">
        <f t="shared" si="34"/>
        <v>37065</v>
      </c>
      <c r="Q81" s="169">
        <f t="shared" si="32"/>
        <v>429432</v>
      </c>
    </row>
    <row r="82" spans="1:17" s="170" customFormat="1">
      <c r="A82" s="190"/>
      <c r="B82" s="191" t="s">
        <v>216</v>
      </c>
      <c r="C82" s="192"/>
      <c r="D82" s="200">
        <f>264939+5000</f>
        <v>269939</v>
      </c>
      <c r="E82" s="200">
        <v>11394</v>
      </c>
      <c r="F82" s="201">
        <v>38661</v>
      </c>
      <c r="G82" s="200">
        <v>10647</v>
      </c>
      <c r="H82" s="201">
        <v>25460</v>
      </c>
      <c r="I82" s="200">
        <f>17500+5000</f>
        <v>22500</v>
      </c>
      <c r="J82" s="201">
        <v>22111</v>
      </c>
      <c r="K82" s="200">
        <f>17500+5660</f>
        <v>23160</v>
      </c>
      <c r="L82" s="201">
        <f>17500+5660</f>
        <v>23160</v>
      </c>
      <c r="M82" s="200">
        <f>17200+5660</f>
        <v>22860</v>
      </c>
      <c r="N82" s="201">
        <f>18200+5660</f>
        <v>23860</v>
      </c>
      <c r="O82" s="200">
        <f>17300+5660</f>
        <v>22960</v>
      </c>
      <c r="P82" s="200">
        <f>17505+5661</f>
        <v>23166</v>
      </c>
      <c r="Q82" s="169">
        <f t="shared" si="32"/>
        <v>269939</v>
      </c>
    </row>
    <row r="83" spans="1:17" s="170" customFormat="1">
      <c r="A83" s="190"/>
      <c r="B83" s="191" t="s">
        <v>219</v>
      </c>
      <c r="C83" s="192"/>
      <c r="D83" s="200">
        <v>159493</v>
      </c>
      <c r="E83" s="200">
        <v>13314</v>
      </c>
      <c r="F83" s="201">
        <v>12028</v>
      </c>
      <c r="G83" s="200">
        <v>11552</v>
      </c>
      <c r="H83" s="201">
        <v>8608</v>
      </c>
      <c r="I83" s="200">
        <f>13100+1798</f>
        <v>14898</v>
      </c>
      <c r="J83" s="201">
        <f>13100+1799</f>
        <v>14899</v>
      </c>
      <c r="K83" s="200">
        <f>12000+1799</f>
        <v>13799</v>
      </c>
      <c r="L83" s="201">
        <f>12000+1799</f>
        <v>13799</v>
      </c>
      <c r="M83" s="200">
        <f>13100+1799</f>
        <v>14899</v>
      </c>
      <c r="N83" s="201">
        <f>12100+1799</f>
        <v>13899</v>
      </c>
      <c r="O83" s="200">
        <f>12100+1799</f>
        <v>13899</v>
      </c>
      <c r="P83" s="200">
        <f>12100+1799</f>
        <v>13899</v>
      </c>
      <c r="Q83" s="169">
        <f t="shared" si="32"/>
        <v>159493</v>
      </c>
    </row>
    <row r="84" spans="1:17" s="170" customFormat="1">
      <c r="A84" s="202"/>
      <c r="B84" s="188" t="s">
        <v>77</v>
      </c>
      <c r="C84" s="192">
        <v>80195</v>
      </c>
      <c r="D84" s="200">
        <f>SUM(D85:D87)</f>
        <v>2489106</v>
      </c>
      <c r="E84" s="200">
        <f t="shared" ref="E84:F84" si="35">SUM(E85:E87)</f>
        <v>10320</v>
      </c>
      <c r="F84" s="200">
        <f t="shared" si="35"/>
        <v>1799</v>
      </c>
      <c r="G84" s="200">
        <f t="shared" ref="G84:P84" si="36">SUM(G85:G87)</f>
        <v>6135</v>
      </c>
      <c r="H84" s="201">
        <f t="shared" si="36"/>
        <v>2334</v>
      </c>
      <c r="I84" s="200">
        <f t="shared" si="36"/>
        <v>4680</v>
      </c>
      <c r="J84" s="201">
        <f t="shared" si="36"/>
        <v>4680</v>
      </c>
      <c r="K84" s="200">
        <f t="shared" si="36"/>
        <v>5800</v>
      </c>
      <c r="L84" s="201">
        <f t="shared" si="36"/>
        <v>7400</v>
      </c>
      <c r="M84" s="200">
        <f t="shared" si="36"/>
        <v>14295</v>
      </c>
      <c r="N84" s="201">
        <f t="shared" si="36"/>
        <v>4279</v>
      </c>
      <c r="O84" s="200">
        <f t="shared" si="36"/>
        <v>4279</v>
      </c>
      <c r="P84" s="200">
        <f t="shared" si="36"/>
        <v>2423105</v>
      </c>
      <c r="Q84" s="169">
        <f t="shared" si="32"/>
        <v>2489106</v>
      </c>
    </row>
    <row r="85" spans="1:17" s="170" customFormat="1">
      <c r="A85" s="190"/>
      <c r="B85" s="191" t="s">
        <v>220</v>
      </c>
      <c r="C85" s="211"/>
      <c r="D85" s="181">
        <f>2459357-3000</f>
        <v>2456357</v>
      </c>
      <c r="E85" s="181">
        <v>8750</v>
      </c>
      <c r="F85" s="189"/>
      <c r="G85" s="181">
        <v>5205</v>
      </c>
      <c r="H85" s="189">
        <v>1667</v>
      </c>
      <c r="I85" s="181">
        <v>1667</v>
      </c>
      <c r="J85" s="189">
        <v>1667</v>
      </c>
      <c r="K85" s="181">
        <v>1667</v>
      </c>
      <c r="L85" s="189">
        <v>3267</v>
      </c>
      <c r="M85" s="181">
        <v>11666</v>
      </c>
      <c r="N85" s="189">
        <v>1666</v>
      </c>
      <c r="O85" s="181">
        <v>1666</v>
      </c>
      <c r="P85" s="181">
        <f>1561117+859352-3000</f>
        <v>2417469</v>
      </c>
      <c r="Q85" s="169">
        <f t="shared" si="32"/>
        <v>2456357</v>
      </c>
    </row>
    <row r="86" spans="1:17" s="170" customFormat="1">
      <c r="A86" s="190"/>
      <c r="B86" s="191" t="s">
        <v>209</v>
      </c>
      <c r="C86" s="211"/>
      <c r="D86" s="181">
        <v>3038</v>
      </c>
      <c r="E86" s="181"/>
      <c r="F86" s="189"/>
      <c r="G86" s="181"/>
      <c r="H86" s="189"/>
      <c r="I86" s="181"/>
      <c r="J86" s="189"/>
      <c r="K86" s="181"/>
      <c r="L86" s="189"/>
      <c r="M86" s="181"/>
      <c r="N86" s="189"/>
      <c r="O86" s="181"/>
      <c r="P86" s="181">
        <v>3038</v>
      </c>
      <c r="Q86" s="169">
        <f t="shared" si="32"/>
        <v>3038</v>
      </c>
    </row>
    <row r="87" spans="1:17" s="170" customFormat="1">
      <c r="A87" s="202"/>
      <c r="B87" s="191" t="s">
        <v>214</v>
      </c>
      <c r="C87" s="192"/>
      <c r="D87" s="67">
        <v>29711</v>
      </c>
      <c r="E87" s="67">
        <v>1570</v>
      </c>
      <c r="F87" s="173">
        <v>1799</v>
      </c>
      <c r="G87" s="67">
        <v>930</v>
      </c>
      <c r="H87" s="173">
        <v>667</v>
      </c>
      <c r="I87" s="67">
        <f>2500+513</f>
        <v>3013</v>
      </c>
      <c r="J87" s="173">
        <f>2500+513</f>
        <v>3013</v>
      </c>
      <c r="K87" s="67">
        <f>3620+513</f>
        <v>4133</v>
      </c>
      <c r="L87" s="173">
        <f>3620+513</f>
        <v>4133</v>
      </c>
      <c r="M87" s="67">
        <f>2116+513</f>
        <v>2629</v>
      </c>
      <c r="N87" s="173">
        <f>2100+513</f>
        <v>2613</v>
      </c>
      <c r="O87" s="67">
        <f>2100+513</f>
        <v>2613</v>
      </c>
      <c r="P87" s="67">
        <f>2085+513</f>
        <v>2598</v>
      </c>
      <c r="Q87" s="169">
        <f t="shared" si="32"/>
        <v>29711</v>
      </c>
    </row>
    <row r="88" spans="1:17">
      <c r="A88" s="146">
        <v>851</v>
      </c>
      <c r="B88" s="143" t="s">
        <v>126</v>
      </c>
      <c r="C88" s="149"/>
      <c r="D88" s="83">
        <f>SUM(D89+D90+D91+D92+D95)</f>
        <v>2020400</v>
      </c>
      <c r="E88" s="83">
        <f t="shared" ref="E88" si="37">SUM(E89+E90+E91+E92+E95)</f>
        <v>226</v>
      </c>
      <c r="F88" s="84">
        <f t="shared" ref="F88:P88" si="38">SUM(F89+F90+F91+F92+F95)</f>
        <v>141654</v>
      </c>
      <c r="G88" s="83">
        <f t="shared" si="38"/>
        <v>144743</v>
      </c>
      <c r="H88" s="84">
        <f t="shared" si="38"/>
        <v>144382</v>
      </c>
      <c r="I88" s="83">
        <f t="shared" si="38"/>
        <v>189475</v>
      </c>
      <c r="J88" s="84">
        <f t="shared" si="38"/>
        <v>189375</v>
      </c>
      <c r="K88" s="83">
        <f t="shared" si="38"/>
        <v>187175</v>
      </c>
      <c r="L88" s="84">
        <f t="shared" si="38"/>
        <v>184875</v>
      </c>
      <c r="M88" s="83">
        <f t="shared" si="38"/>
        <v>188975</v>
      </c>
      <c r="N88" s="84">
        <f t="shared" si="38"/>
        <v>188875</v>
      </c>
      <c r="O88" s="83">
        <f t="shared" si="38"/>
        <v>184875</v>
      </c>
      <c r="P88" s="83">
        <f t="shared" si="38"/>
        <v>275770</v>
      </c>
      <c r="Q88" s="100">
        <f t="shared" si="32"/>
        <v>2020400</v>
      </c>
    </row>
    <row r="89" spans="1:17" s="170" customFormat="1">
      <c r="A89" s="190"/>
      <c r="B89" s="188" t="s">
        <v>185</v>
      </c>
      <c r="C89" s="192">
        <v>85111</v>
      </c>
      <c r="D89" s="181">
        <v>90000</v>
      </c>
      <c r="E89" s="181"/>
      <c r="F89" s="189"/>
      <c r="G89" s="181"/>
      <c r="H89" s="189"/>
      <c r="I89" s="181"/>
      <c r="J89" s="189"/>
      <c r="K89" s="181"/>
      <c r="L89" s="189"/>
      <c r="M89" s="181"/>
      <c r="N89" s="189"/>
      <c r="O89" s="181"/>
      <c r="P89" s="181">
        <v>90000</v>
      </c>
      <c r="Q89" s="169">
        <f t="shared" si="32"/>
        <v>90000</v>
      </c>
    </row>
    <row r="90" spans="1:17" s="170" customFormat="1">
      <c r="A90" s="190"/>
      <c r="B90" s="188" t="s">
        <v>186</v>
      </c>
      <c r="C90" s="192">
        <v>85152</v>
      </c>
      <c r="D90" s="67">
        <v>7100</v>
      </c>
      <c r="E90" s="67"/>
      <c r="F90" s="173"/>
      <c r="G90" s="67"/>
      <c r="H90" s="173"/>
      <c r="I90" s="67">
        <v>3600</v>
      </c>
      <c r="J90" s="173">
        <v>3500</v>
      </c>
      <c r="K90" s="67"/>
      <c r="L90" s="173"/>
      <c r="M90" s="67"/>
      <c r="N90" s="173"/>
      <c r="O90" s="67"/>
      <c r="P90" s="67"/>
      <c r="Q90" s="169">
        <f t="shared" si="32"/>
        <v>7100</v>
      </c>
    </row>
    <row r="91" spans="1:17" s="170" customFormat="1">
      <c r="A91" s="190"/>
      <c r="B91" s="188" t="s">
        <v>187</v>
      </c>
      <c r="C91" s="192">
        <v>85154</v>
      </c>
      <c r="D91" s="181">
        <v>4100</v>
      </c>
      <c r="E91" s="181"/>
      <c r="F91" s="189"/>
      <c r="G91" s="181"/>
      <c r="H91" s="189"/>
      <c r="I91" s="181">
        <v>1000</v>
      </c>
      <c r="J91" s="189">
        <v>1000</v>
      </c>
      <c r="K91" s="181">
        <v>1000</v>
      </c>
      <c r="L91" s="189"/>
      <c r="M91" s="181">
        <v>1100</v>
      </c>
      <c r="N91" s="189"/>
      <c r="O91" s="181"/>
      <c r="P91" s="181"/>
      <c r="Q91" s="169">
        <f t="shared" si="32"/>
        <v>4100</v>
      </c>
    </row>
    <row r="92" spans="1:17" s="170" customFormat="1">
      <c r="A92" s="202"/>
      <c r="B92" s="188" t="s">
        <v>127</v>
      </c>
      <c r="C92" s="192">
        <v>85156</v>
      </c>
      <c r="D92" s="67">
        <f>SUM(D93:D94)</f>
        <v>1908900</v>
      </c>
      <c r="E92" s="67">
        <f t="shared" ref="E92" si="39">SUM(E93:E94)</f>
        <v>226</v>
      </c>
      <c r="F92" s="173">
        <f t="shared" ref="F92:P92" si="40">SUM(F93:F94)</f>
        <v>141654</v>
      </c>
      <c r="G92" s="67">
        <f t="shared" si="40"/>
        <v>144743</v>
      </c>
      <c r="H92" s="173">
        <f t="shared" si="40"/>
        <v>142382</v>
      </c>
      <c r="I92" s="67">
        <f t="shared" si="40"/>
        <v>184875</v>
      </c>
      <c r="J92" s="173">
        <f t="shared" si="40"/>
        <v>184875</v>
      </c>
      <c r="K92" s="67">
        <f t="shared" si="40"/>
        <v>184875</v>
      </c>
      <c r="L92" s="173">
        <f t="shared" si="40"/>
        <v>184875</v>
      </c>
      <c r="M92" s="67">
        <f t="shared" si="40"/>
        <v>184875</v>
      </c>
      <c r="N92" s="173">
        <f t="shared" si="40"/>
        <v>184875</v>
      </c>
      <c r="O92" s="67">
        <f t="shared" si="40"/>
        <v>184875</v>
      </c>
      <c r="P92" s="67">
        <f t="shared" si="40"/>
        <v>185770</v>
      </c>
      <c r="Q92" s="169">
        <f t="shared" si="32"/>
        <v>1908900</v>
      </c>
    </row>
    <row r="93" spans="1:17" s="170" customFormat="1">
      <c r="A93" s="190"/>
      <c r="B93" s="191" t="s">
        <v>221</v>
      </c>
      <c r="C93" s="192"/>
      <c r="D93" s="67">
        <v>10200</v>
      </c>
      <c r="E93" s="67"/>
      <c r="F93" s="173">
        <v>749</v>
      </c>
      <c r="G93" s="67">
        <v>796</v>
      </c>
      <c r="H93" s="173">
        <v>889</v>
      </c>
      <c r="I93" s="67">
        <v>859</v>
      </c>
      <c r="J93" s="173">
        <v>859</v>
      </c>
      <c r="K93" s="67">
        <v>859</v>
      </c>
      <c r="L93" s="173">
        <v>859</v>
      </c>
      <c r="M93" s="67">
        <v>859</v>
      </c>
      <c r="N93" s="173">
        <v>859</v>
      </c>
      <c r="O93" s="67">
        <v>859</v>
      </c>
      <c r="P93" s="67">
        <f>1720+33</f>
        <v>1753</v>
      </c>
      <c r="Q93" s="169">
        <f t="shared" si="32"/>
        <v>10200</v>
      </c>
    </row>
    <row r="94" spans="1:17" s="170" customFormat="1">
      <c r="A94" s="190"/>
      <c r="B94" s="191" t="s">
        <v>222</v>
      </c>
      <c r="C94" s="192"/>
      <c r="D94" s="181">
        <v>1898700</v>
      </c>
      <c r="E94" s="181">
        <v>226</v>
      </c>
      <c r="F94" s="189">
        <v>140905</v>
      </c>
      <c r="G94" s="181">
        <v>143947</v>
      </c>
      <c r="H94" s="189">
        <v>141493</v>
      </c>
      <c r="I94" s="181">
        <v>184016</v>
      </c>
      <c r="J94" s="189">
        <v>184016</v>
      </c>
      <c r="K94" s="181">
        <v>184016</v>
      </c>
      <c r="L94" s="189">
        <v>184016</v>
      </c>
      <c r="M94" s="181">
        <v>184016</v>
      </c>
      <c r="N94" s="189">
        <v>184016</v>
      </c>
      <c r="O94" s="181">
        <v>184016</v>
      </c>
      <c r="P94" s="181">
        <v>184017</v>
      </c>
      <c r="Q94" s="169">
        <f t="shared" si="32"/>
        <v>1898700</v>
      </c>
    </row>
    <row r="95" spans="1:17" s="170" customFormat="1">
      <c r="A95" s="190"/>
      <c r="B95" s="188" t="s">
        <v>77</v>
      </c>
      <c r="C95" s="192">
        <v>85195</v>
      </c>
      <c r="D95" s="67">
        <v>10300</v>
      </c>
      <c r="E95" s="67"/>
      <c r="F95" s="173"/>
      <c r="G95" s="67"/>
      <c r="H95" s="173">
        <v>2000</v>
      </c>
      <c r="I95" s="67"/>
      <c r="J95" s="173"/>
      <c r="K95" s="67">
        <v>1300</v>
      </c>
      <c r="L95" s="173"/>
      <c r="M95" s="67">
        <v>3000</v>
      </c>
      <c r="N95" s="173">
        <v>4000</v>
      </c>
      <c r="O95" s="67"/>
      <c r="P95" s="67"/>
      <c r="Q95" s="169">
        <f t="shared" si="32"/>
        <v>10300</v>
      </c>
    </row>
    <row r="96" spans="1:17">
      <c r="A96" s="146">
        <v>852</v>
      </c>
      <c r="B96" s="143" t="s">
        <v>130</v>
      </c>
      <c r="C96" s="149"/>
      <c r="D96" s="55">
        <f>SUM(D97+D100+D106+D107+D108+D105)</f>
        <v>8867827</v>
      </c>
      <c r="E96" s="55">
        <f t="shared" ref="E96:P96" si="41">SUM(E97+E100+E106+E107+E108+E105)</f>
        <v>634826</v>
      </c>
      <c r="F96" s="55">
        <f t="shared" si="41"/>
        <v>876760</v>
      </c>
      <c r="G96" s="55">
        <f t="shared" si="41"/>
        <v>981337</v>
      </c>
      <c r="H96" s="55">
        <f t="shared" si="41"/>
        <v>735839</v>
      </c>
      <c r="I96" s="55">
        <f t="shared" si="41"/>
        <v>798947</v>
      </c>
      <c r="J96" s="55">
        <f t="shared" si="41"/>
        <v>714196</v>
      </c>
      <c r="K96" s="55">
        <f t="shared" si="41"/>
        <v>708220</v>
      </c>
      <c r="L96" s="55">
        <f t="shared" si="41"/>
        <v>707776</v>
      </c>
      <c r="M96" s="55">
        <f t="shared" si="41"/>
        <v>721955</v>
      </c>
      <c r="N96" s="55">
        <f t="shared" si="41"/>
        <v>689244</v>
      </c>
      <c r="O96" s="55">
        <f t="shared" si="41"/>
        <v>670897</v>
      </c>
      <c r="P96" s="55">
        <f t="shared" si="41"/>
        <v>627830</v>
      </c>
      <c r="Q96" s="100">
        <f>SUM(E96:P96)</f>
        <v>8867827</v>
      </c>
    </row>
    <row r="97" spans="1:17" s="170" customFormat="1">
      <c r="A97" s="190"/>
      <c r="B97" s="188" t="s">
        <v>131</v>
      </c>
      <c r="C97" s="192">
        <v>85202</v>
      </c>
      <c r="D97" s="67">
        <f>SUM(D98:D99)</f>
        <v>6294464</v>
      </c>
      <c r="E97" s="67">
        <f t="shared" ref="E97" si="42">SUM(E98:E99)</f>
        <v>479476</v>
      </c>
      <c r="F97" s="173">
        <f t="shared" ref="F97:P97" si="43">SUM(F98:F99)</f>
        <v>705760</v>
      </c>
      <c r="G97" s="67">
        <f t="shared" si="43"/>
        <v>704356</v>
      </c>
      <c r="H97" s="173">
        <f t="shared" si="43"/>
        <v>519310</v>
      </c>
      <c r="I97" s="67">
        <f t="shared" si="43"/>
        <v>550227</v>
      </c>
      <c r="J97" s="173">
        <f t="shared" si="43"/>
        <v>504185</v>
      </c>
      <c r="K97" s="67">
        <f t="shared" si="43"/>
        <v>499823</v>
      </c>
      <c r="L97" s="173">
        <f t="shared" si="43"/>
        <v>500892</v>
      </c>
      <c r="M97" s="67">
        <f t="shared" si="43"/>
        <v>502632</v>
      </c>
      <c r="N97" s="173">
        <f t="shared" si="43"/>
        <v>495529</v>
      </c>
      <c r="O97" s="67">
        <f t="shared" si="43"/>
        <v>481868</v>
      </c>
      <c r="P97" s="67">
        <f t="shared" si="43"/>
        <v>350406</v>
      </c>
      <c r="Q97" s="169">
        <f t="shared" si="32"/>
        <v>6294464</v>
      </c>
    </row>
    <row r="98" spans="1:17" s="170" customFormat="1">
      <c r="A98" s="190"/>
      <c r="B98" s="191" t="s">
        <v>223</v>
      </c>
      <c r="C98" s="192"/>
      <c r="D98" s="67">
        <v>2839398</v>
      </c>
      <c r="E98" s="67">
        <v>226079</v>
      </c>
      <c r="F98" s="173">
        <v>321743</v>
      </c>
      <c r="G98" s="67">
        <v>322888</v>
      </c>
      <c r="H98" s="173">
        <v>240520</v>
      </c>
      <c r="I98" s="67">
        <v>253025</v>
      </c>
      <c r="J98" s="173">
        <v>234406</v>
      </c>
      <c r="K98" s="67">
        <v>229179</v>
      </c>
      <c r="L98" s="173">
        <v>230566</v>
      </c>
      <c r="M98" s="67">
        <v>230879</v>
      </c>
      <c r="N98" s="173">
        <v>230644</v>
      </c>
      <c r="O98" s="67">
        <v>220193</v>
      </c>
      <c r="P98" s="67">
        <f>89212+10064</f>
        <v>99276</v>
      </c>
      <c r="Q98" s="169">
        <f t="shared" si="32"/>
        <v>2839398</v>
      </c>
    </row>
    <row r="99" spans="1:17" s="170" customFormat="1">
      <c r="A99" s="202"/>
      <c r="B99" s="191" t="s">
        <v>224</v>
      </c>
      <c r="C99" s="192"/>
      <c r="D99" s="67">
        <v>3455066</v>
      </c>
      <c r="E99" s="67">
        <v>253397</v>
      </c>
      <c r="F99" s="173">
        <v>384017</v>
      </c>
      <c r="G99" s="67">
        <v>381468</v>
      </c>
      <c r="H99" s="173">
        <v>278790</v>
      </c>
      <c r="I99" s="67">
        <v>297202</v>
      </c>
      <c r="J99" s="173">
        <v>269779</v>
      </c>
      <c r="K99" s="67">
        <v>270644</v>
      </c>
      <c r="L99" s="173">
        <v>270326</v>
      </c>
      <c r="M99" s="67">
        <v>271753</v>
      </c>
      <c r="N99" s="173">
        <v>264885</v>
      </c>
      <c r="O99" s="67">
        <v>261675</v>
      </c>
      <c r="P99" s="67">
        <v>251130</v>
      </c>
      <c r="Q99" s="169">
        <f t="shared" si="32"/>
        <v>3455066</v>
      </c>
    </row>
    <row r="100" spans="1:17" s="170" customFormat="1">
      <c r="A100" s="202"/>
      <c r="B100" s="188" t="s">
        <v>135</v>
      </c>
      <c r="C100" s="192">
        <v>85203</v>
      </c>
      <c r="D100" s="67">
        <f>SUM(D101:D104)</f>
        <v>1597735</v>
      </c>
      <c r="E100" s="67">
        <f t="shared" ref="E100" si="44">SUM(E101:E103)</f>
        <v>86157</v>
      </c>
      <c r="F100" s="173">
        <f t="shared" ref="F100:P100" si="45">SUM(F101:F103)</f>
        <v>115738</v>
      </c>
      <c r="G100" s="67">
        <f t="shared" si="45"/>
        <v>174898</v>
      </c>
      <c r="H100" s="173">
        <f t="shared" si="45"/>
        <v>125852</v>
      </c>
      <c r="I100" s="67">
        <f>SUM(I101:I105)</f>
        <v>148818</v>
      </c>
      <c r="J100" s="173">
        <f t="shared" si="45"/>
        <v>128231</v>
      </c>
      <c r="K100" s="67">
        <f t="shared" si="45"/>
        <v>126572</v>
      </c>
      <c r="L100" s="173">
        <f t="shared" si="45"/>
        <v>125004</v>
      </c>
      <c r="M100" s="67">
        <f t="shared" si="45"/>
        <v>131499</v>
      </c>
      <c r="N100" s="173">
        <f t="shared" si="45"/>
        <v>125604</v>
      </c>
      <c r="O100" s="67">
        <f t="shared" si="45"/>
        <v>125004</v>
      </c>
      <c r="P100" s="67">
        <f t="shared" si="45"/>
        <v>184358</v>
      </c>
      <c r="Q100" s="169">
        <f t="shared" si="32"/>
        <v>1597735</v>
      </c>
    </row>
    <row r="101" spans="1:17" s="170" customFormat="1">
      <c r="A101" s="202"/>
      <c r="B101" s="191" t="s">
        <v>225</v>
      </c>
      <c r="C101" s="192"/>
      <c r="D101" s="67">
        <v>456480</v>
      </c>
      <c r="E101" s="67">
        <v>23838</v>
      </c>
      <c r="F101" s="173">
        <v>35675</v>
      </c>
      <c r="G101" s="67">
        <v>56707</v>
      </c>
      <c r="H101" s="173">
        <v>37757</v>
      </c>
      <c r="I101" s="67">
        <v>41008</v>
      </c>
      <c r="J101" s="173">
        <v>38057</v>
      </c>
      <c r="K101" s="67">
        <v>36748</v>
      </c>
      <c r="L101" s="173">
        <v>35180</v>
      </c>
      <c r="M101" s="67">
        <v>37475</v>
      </c>
      <c r="N101" s="173">
        <v>35180</v>
      </c>
      <c r="O101" s="67">
        <v>35180</v>
      </c>
      <c r="P101" s="67">
        <v>43675</v>
      </c>
      <c r="Q101" s="169">
        <f t="shared" si="32"/>
        <v>456480</v>
      </c>
    </row>
    <row r="102" spans="1:17" s="170" customFormat="1">
      <c r="A102" s="202"/>
      <c r="B102" s="191" t="s">
        <v>226</v>
      </c>
      <c r="C102" s="192"/>
      <c r="D102" s="67">
        <v>532560</v>
      </c>
      <c r="E102" s="67">
        <v>30947</v>
      </c>
      <c r="F102" s="173">
        <v>36023</v>
      </c>
      <c r="G102" s="67">
        <v>56859</v>
      </c>
      <c r="H102" s="173">
        <v>39883</v>
      </c>
      <c r="I102" s="67">
        <v>51343</v>
      </c>
      <c r="J102" s="173">
        <v>41612</v>
      </c>
      <c r="K102" s="67">
        <v>41612</v>
      </c>
      <c r="L102" s="173">
        <v>41612</v>
      </c>
      <c r="M102" s="67">
        <v>44612</v>
      </c>
      <c r="N102" s="173">
        <v>41862</v>
      </c>
      <c r="O102" s="67">
        <v>41612</v>
      </c>
      <c r="P102" s="67">
        <v>64583</v>
      </c>
      <c r="Q102" s="169">
        <f t="shared" si="32"/>
        <v>532560</v>
      </c>
    </row>
    <row r="103" spans="1:17" s="170" customFormat="1">
      <c r="A103" s="202"/>
      <c r="B103" s="191" t="s">
        <v>227</v>
      </c>
      <c r="C103" s="192"/>
      <c r="D103" s="67">
        <v>608640</v>
      </c>
      <c r="E103" s="67">
        <v>31372</v>
      </c>
      <c r="F103" s="173">
        <v>44040</v>
      </c>
      <c r="G103" s="67">
        <v>61332</v>
      </c>
      <c r="H103" s="173">
        <v>48212</v>
      </c>
      <c r="I103" s="67">
        <v>56412</v>
      </c>
      <c r="J103" s="173">
        <v>48562</v>
      </c>
      <c r="K103" s="67">
        <v>48212</v>
      </c>
      <c r="L103" s="173">
        <v>48212</v>
      </c>
      <c r="M103" s="67">
        <v>49412</v>
      </c>
      <c r="N103" s="173">
        <v>48562</v>
      </c>
      <c r="O103" s="67">
        <v>48212</v>
      </c>
      <c r="P103" s="67">
        <v>76100</v>
      </c>
      <c r="Q103" s="169">
        <f t="shared" si="32"/>
        <v>608640</v>
      </c>
    </row>
    <row r="104" spans="1:17" s="170" customFormat="1">
      <c r="A104" s="202"/>
      <c r="B104" s="179" t="s">
        <v>234</v>
      </c>
      <c r="C104" s="192"/>
      <c r="D104" s="67">
        <v>55</v>
      </c>
      <c r="E104" s="67"/>
      <c r="F104" s="173"/>
      <c r="G104" s="67"/>
      <c r="H104" s="173"/>
      <c r="I104" s="67">
        <v>55</v>
      </c>
      <c r="J104" s="173"/>
      <c r="K104" s="67"/>
      <c r="L104" s="173"/>
      <c r="M104" s="67"/>
      <c r="N104" s="173"/>
      <c r="O104" s="67"/>
      <c r="P104" s="67"/>
      <c r="Q104" s="169">
        <f t="shared" si="32"/>
        <v>55</v>
      </c>
    </row>
    <row r="105" spans="1:17" s="170" customFormat="1">
      <c r="A105" s="202"/>
      <c r="B105" s="179" t="s">
        <v>233</v>
      </c>
      <c r="C105" s="192">
        <v>85205</v>
      </c>
      <c r="D105" s="67">
        <v>4230</v>
      </c>
      <c r="E105" s="67"/>
      <c r="F105" s="173"/>
      <c r="G105" s="67"/>
      <c r="H105" s="173">
        <v>4230</v>
      </c>
      <c r="I105" s="67"/>
      <c r="J105" s="173"/>
      <c r="K105" s="67"/>
      <c r="L105" s="173"/>
      <c r="M105" s="67"/>
      <c r="N105" s="173"/>
      <c r="O105" s="67"/>
      <c r="P105" s="67"/>
      <c r="Q105" s="169">
        <f t="shared" si="32"/>
        <v>4230</v>
      </c>
    </row>
    <row r="106" spans="1:17" s="170" customFormat="1">
      <c r="A106" s="190"/>
      <c r="B106" s="188" t="s">
        <v>189</v>
      </c>
      <c r="C106" s="192">
        <v>85218</v>
      </c>
      <c r="D106" s="67">
        <f>844482+619</f>
        <v>845101</v>
      </c>
      <c r="E106" s="67">
        <v>62760</v>
      </c>
      <c r="F106" s="173">
        <v>48109</v>
      </c>
      <c r="G106" s="73">
        <v>95139</v>
      </c>
      <c r="H106" s="193">
        <f>78406+619</f>
        <v>79025</v>
      </c>
      <c r="I106" s="73">
        <v>90546</v>
      </c>
      <c r="J106" s="193">
        <v>74390</v>
      </c>
      <c r="K106" s="73">
        <v>74190</v>
      </c>
      <c r="L106" s="193">
        <v>74390</v>
      </c>
      <c r="M106" s="73">
        <v>79642</v>
      </c>
      <c r="N106" s="193">
        <v>60076</v>
      </c>
      <c r="O106" s="73">
        <f>31868+24922</f>
        <v>56790</v>
      </c>
      <c r="P106" s="73">
        <f>200+49844</f>
        <v>50044</v>
      </c>
      <c r="Q106" s="169">
        <f t="shared" si="32"/>
        <v>845101</v>
      </c>
    </row>
    <row r="107" spans="1:17" s="170" customFormat="1">
      <c r="A107" s="190"/>
      <c r="B107" s="188" t="s">
        <v>190</v>
      </c>
      <c r="C107" s="192">
        <v>85220</v>
      </c>
      <c r="D107" s="67">
        <v>91428</v>
      </c>
      <c r="E107" s="67">
        <v>6433</v>
      </c>
      <c r="F107" s="173">
        <v>7153</v>
      </c>
      <c r="G107" s="73">
        <v>6944</v>
      </c>
      <c r="H107" s="193">
        <v>7422</v>
      </c>
      <c r="I107" s="73">
        <v>9356</v>
      </c>
      <c r="J107" s="193">
        <v>7390</v>
      </c>
      <c r="K107" s="73">
        <v>7635</v>
      </c>
      <c r="L107" s="193">
        <v>7490</v>
      </c>
      <c r="M107" s="73">
        <v>8182</v>
      </c>
      <c r="N107" s="193">
        <v>8035</v>
      </c>
      <c r="O107" s="73">
        <v>7235</v>
      </c>
      <c r="P107" s="73">
        <v>8153</v>
      </c>
      <c r="Q107" s="169">
        <f t="shared" si="32"/>
        <v>91428</v>
      </c>
    </row>
    <row r="108" spans="1:17" s="170" customFormat="1">
      <c r="A108" s="202"/>
      <c r="B108" s="188" t="s">
        <v>77</v>
      </c>
      <c r="C108" s="192">
        <v>85295</v>
      </c>
      <c r="D108" s="67">
        <v>34869</v>
      </c>
      <c r="E108" s="67"/>
      <c r="F108" s="173"/>
      <c r="G108" s="67"/>
      <c r="H108" s="173"/>
      <c r="I108" s="67"/>
      <c r="J108" s="173"/>
      <c r="K108" s="67"/>
      <c r="L108" s="173"/>
      <c r="M108" s="67"/>
      <c r="N108" s="173"/>
      <c r="O108" s="67"/>
      <c r="P108" s="67">
        <v>34869</v>
      </c>
      <c r="Q108" s="169">
        <f t="shared" si="32"/>
        <v>34869</v>
      </c>
    </row>
    <row r="109" spans="1:17">
      <c r="A109" s="146">
        <v>853</v>
      </c>
      <c r="B109" s="143" t="s">
        <v>138</v>
      </c>
      <c r="C109" s="149"/>
      <c r="D109" s="55">
        <f>SUM(D110:D113)</f>
        <v>2268967</v>
      </c>
      <c r="E109" s="55">
        <f t="shared" ref="E109" si="46">SUM(E110:E113)</f>
        <v>186400</v>
      </c>
      <c r="F109" s="56">
        <f t="shared" ref="F109:P109" si="47">SUM(F110:F113)</f>
        <v>227857</v>
      </c>
      <c r="G109" s="55">
        <f t="shared" si="47"/>
        <v>212910</v>
      </c>
      <c r="H109" s="56">
        <f t="shared" si="47"/>
        <v>178080</v>
      </c>
      <c r="I109" s="55">
        <f t="shared" si="47"/>
        <v>215230</v>
      </c>
      <c r="J109" s="56">
        <f t="shared" si="47"/>
        <v>166226</v>
      </c>
      <c r="K109" s="55">
        <f t="shared" si="47"/>
        <v>184038</v>
      </c>
      <c r="L109" s="56">
        <f t="shared" si="47"/>
        <v>161314</v>
      </c>
      <c r="M109" s="55">
        <f t="shared" si="47"/>
        <v>188317</v>
      </c>
      <c r="N109" s="56">
        <f t="shared" si="47"/>
        <v>166514</v>
      </c>
      <c r="O109" s="55">
        <f t="shared" si="47"/>
        <v>186545</v>
      </c>
      <c r="P109" s="55">
        <f t="shared" si="47"/>
        <v>195536</v>
      </c>
      <c r="Q109" s="100">
        <f t="shared" si="32"/>
        <v>2268967</v>
      </c>
    </row>
    <row r="110" spans="1:17" s="170" customFormat="1">
      <c r="A110" s="187"/>
      <c r="B110" s="188" t="s">
        <v>191</v>
      </c>
      <c r="C110" s="192">
        <v>85311</v>
      </c>
      <c r="D110" s="181">
        <v>44433</v>
      </c>
      <c r="E110" s="181">
        <v>16900</v>
      </c>
      <c r="F110" s="189"/>
      <c r="G110" s="181"/>
      <c r="H110" s="189">
        <v>12666</v>
      </c>
      <c r="I110" s="181"/>
      <c r="J110" s="189"/>
      <c r="K110" s="181">
        <v>10967</v>
      </c>
      <c r="L110" s="189"/>
      <c r="M110" s="181"/>
      <c r="N110" s="189">
        <v>3900</v>
      </c>
      <c r="O110" s="181"/>
      <c r="P110" s="181"/>
      <c r="Q110" s="169">
        <f t="shared" si="32"/>
        <v>44433</v>
      </c>
    </row>
    <row r="111" spans="1:17" s="172" customFormat="1">
      <c r="A111" s="187"/>
      <c r="B111" s="188" t="s">
        <v>192</v>
      </c>
      <c r="C111" s="192">
        <v>85321</v>
      </c>
      <c r="D111" s="67">
        <v>175037</v>
      </c>
      <c r="E111" s="67">
        <v>7680</v>
      </c>
      <c r="F111" s="173">
        <v>20516</v>
      </c>
      <c r="G111" s="67">
        <v>20234</v>
      </c>
      <c r="H111" s="173">
        <v>18946</v>
      </c>
      <c r="I111" s="67">
        <v>17411</v>
      </c>
      <c r="J111" s="173">
        <f>14519+1824</f>
        <v>16343</v>
      </c>
      <c r="K111" s="67">
        <f>14609+1824</f>
        <v>16433</v>
      </c>
      <c r="L111" s="173">
        <f>9357+1824</f>
        <v>11181</v>
      </c>
      <c r="M111" s="67">
        <f>8877+1825</f>
        <v>10702</v>
      </c>
      <c r="N111" s="173">
        <f>8846+1825</f>
        <v>10671</v>
      </c>
      <c r="O111" s="67">
        <f>10856+1825</f>
        <v>12681</v>
      </c>
      <c r="P111" s="67">
        <v>12239</v>
      </c>
      <c r="Q111" s="171">
        <f t="shared" si="32"/>
        <v>175037</v>
      </c>
    </row>
    <row r="112" spans="1:17" s="170" customFormat="1">
      <c r="A112" s="202"/>
      <c r="B112" s="188" t="s">
        <v>188</v>
      </c>
      <c r="C112" s="192">
        <v>85333</v>
      </c>
      <c r="D112" s="67">
        <v>2018886</v>
      </c>
      <c r="E112" s="67">
        <v>148688</v>
      </c>
      <c r="F112" s="173">
        <v>207341</v>
      </c>
      <c r="G112" s="67">
        <v>192676</v>
      </c>
      <c r="H112" s="173">
        <v>146468</v>
      </c>
      <c r="I112" s="67">
        <f>193563+4219</f>
        <v>197782</v>
      </c>
      <c r="J112" s="173">
        <f>145664+4219</f>
        <v>149883</v>
      </c>
      <c r="K112" s="67">
        <f>152419+4219</f>
        <v>156638</v>
      </c>
      <c r="L112" s="173">
        <f>145914+4219</f>
        <v>150133</v>
      </c>
      <c r="M112" s="67">
        <f>173395+4220</f>
        <v>177615</v>
      </c>
      <c r="N112" s="173">
        <f>147723+4220</f>
        <v>151943</v>
      </c>
      <c r="O112" s="67">
        <f>169644+4220</f>
        <v>173864</v>
      </c>
      <c r="P112" s="67">
        <f>161635+4220</f>
        <v>165855</v>
      </c>
      <c r="Q112" s="169">
        <f t="shared" si="32"/>
        <v>2018886</v>
      </c>
    </row>
    <row r="113" spans="1:19" s="172" customFormat="1">
      <c r="A113" s="190"/>
      <c r="B113" s="188" t="s">
        <v>77</v>
      </c>
      <c r="C113" s="192">
        <v>85395</v>
      </c>
      <c r="D113" s="67">
        <v>30611</v>
      </c>
      <c r="E113" s="67">
        <v>13132</v>
      </c>
      <c r="F113" s="173"/>
      <c r="G113" s="67"/>
      <c r="H113" s="173"/>
      <c r="I113" s="67">
        <v>37</v>
      </c>
      <c r="J113" s="173"/>
      <c r="K113" s="67"/>
      <c r="L113" s="173"/>
      <c r="M113" s="67"/>
      <c r="N113" s="173"/>
      <c r="O113" s="67"/>
      <c r="P113" s="67">
        <f>2442+15000</f>
        <v>17442</v>
      </c>
      <c r="Q113" s="171">
        <f t="shared" si="32"/>
        <v>30611</v>
      </c>
    </row>
    <row r="114" spans="1:19">
      <c r="A114" s="146">
        <v>854</v>
      </c>
      <c r="B114" s="143" t="s">
        <v>143</v>
      </c>
      <c r="C114" s="149"/>
      <c r="D114" s="55">
        <f t="shared" ref="D114:P114" si="48">SUM(D115+D116+D119+D120+D123+D126+D127)</f>
        <v>4335531</v>
      </c>
      <c r="E114" s="55">
        <f t="shared" si="48"/>
        <v>295534</v>
      </c>
      <c r="F114" s="56">
        <f t="shared" si="48"/>
        <v>368437</v>
      </c>
      <c r="G114" s="55">
        <f t="shared" si="48"/>
        <v>491671</v>
      </c>
      <c r="H114" s="56">
        <f t="shared" si="48"/>
        <v>475184</v>
      </c>
      <c r="I114" s="55">
        <f t="shared" si="48"/>
        <v>438635</v>
      </c>
      <c r="J114" s="56">
        <f t="shared" si="48"/>
        <v>333328</v>
      </c>
      <c r="K114" s="55">
        <f t="shared" si="48"/>
        <v>332549</v>
      </c>
      <c r="L114" s="56">
        <f t="shared" si="48"/>
        <v>335997</v>
      </c>
      <c r="M114" s="55">
        <f t="shared" si="48"/>
        <v>363312</v>
      </c>
      <c r="N114" s="56">
        <f t="shared" si="48"/>
        <v>328966</v>
      </c>
      <c r="O114" s="55">
        <f t="shared" si="48"/>
        <v>246131</v>
      </c>
      <c r="P114" s="55">
        <f t="shared" si="48"/>
        <v>325787</v>
      </c>
      <c r="Q114" s="100">
        <f t="shared" si="32"/>
        <v>4335531</v>
      </c>
      <c r="R114" s="170"/>
      <c r="S114" s="170"/>
    </row>
    <row r="115" spans="1:19" s="170" customFormat="1">
      <c r="A115" s="190"/>
      <c r="B115" s="188" t="s">
        <v>193</v>
      </c>
      <c r="C115" s="192">
        <v>85404</v>
      </c>
      <c r="D115" s="58">
        <v>93622</v>
      </c>
      <c r="E115" s="58">
        <v>3723</v>
      </c>
      <c r="F115" s="199">
        <v>6153</v>
      </c>
      <c r="G115" s="58">
        <v>5009</v>
      </c>
      <c r="H115" s="199">
        <v>4708</v>
      </c>
      <c r="I115" s="58">
        <f>8300+1123</f>
        <v>9423</v>
      </c>
      <c r="J115" s="199">
        <f>8200+1123</f>
        <v>9323</v>
      </c>
      <c r="K115" s="58">
        <f>8300+1123</f>
        <v>9423</v>
      </c>
      <c r="L115" s="199">
        <f>8200+1123</f>
        <v>9323</v>
      </c>
      <c r="M115" s="58">
        <f>8300+1123</f>
        <v>9423</v>
      </c>
      <c r="N115" s="199">
        <f>8200+1123</f>
        <v>9323</v>
      </c>
      <c r="O115" s="58">
        <f>8300+1123</f>
        <v>9423</v>
      </c>
      <c r="P115" s="58">
        <f>6122+2246</f>
        <v>8368</v>
      </c>
      <c r="Q115" s="169">
        <f t="shared" si="32"/>
        <v>93622</v>
      </c>
    </row>
    <row r="116" spans="1:19" s="170" customFormat="1">
      <c r="A116" s="190"/>
      <c r="B116" s="188" t="s">
        <v>144</v>
      </c>
      <c r="C116" s="192">
        <v>85406</v>
      </c>
      <c r="D116" s="67">
        <f>SUM(D117:D118)</f>
        <v>1057311</v>
      </c>
      <c r="E116" s="67">
        <f t="shared" ref="E116:P116" si="49">SUM(E117:E118)</f>
        <v>90279</v>
      </c>
      <c r="F116" s="173">
        <f t="shared" si="49"/>
        <v>92519</v>
      </c>
      <c r="G116" s="67">
        <f t="shared" si="49"/>
        <v>131994</v>
      </c>
      <c r="H116" s="173">
        <f t="shared" si="49"/>
        <v>119708</v>
      </c>
      <c r="I116" s="67">
        <f t="shared" si="49"/>
        <v>134949</v>
      </c>
      <c r="J116" s="173">
        <f t="shared" si="49"/>
        <v>80971</v>
      </c>
      <c r="K116" s="67">
        <f t="shared" si="49"/>
        <v>79971</v>
      </c>
      <c r="L116" s="173">
        <f t="shared" si="49"/>
        <v>79971</v>
      </c>
      <c r="M116" s="67">
        <f t="shared" si="49"/>
        <v>92971</v>
      </c>
      <c r="N116" s="173">
        <f t="shared" si="49"/>
        <v>50224</v>
      </c>
      <c r="O116" s="67">
        <f t="shared" si="49"/>
        <v>50224</v>
      </c>
      <c r="P116" s="67">
        <f t="shared" si="49"/>
        <v>53530</v>
      </c>
      <c r="Q116" s="169">
        <f t="shared" si="32"/>
        <v>1057311</v>
      </c>
    </row>
    <row r="117" spans="1:19" s="170" customFormat="1">
      <c r="A117" s="190"/>
      <c r="B117" s="191" t="s">
        <v>220</v>
      </c>
      <c r="C117" s="192"/>
      <c r="D117" s="67">
        <v>457160</v>
      </c>
      <c r="E117" s="67">
        <v>41724</v>
      </c>
      <c r="F117" s="173">
        <v>42822</v>
      </c>
      <c r="G117" s="67">
        <v>56364</v>
      </c>
      <c r="H117" s="173">
        <v>52499</v>
      </c>
      <c r="I117" s="67">
        <v>53949</v>
      </c>
      <c r="J117" s="173">
        <v>29971</v>
      </c>
      <c r="K117" s="67">
        <v>29971</v>
      </c>
      <c r="L117" s="173">
        <v>29971</v>
      </c>
      <c r="M117" s="67">
        <v>29971</v>
      </c>
      <c r="N117" s="173">
        <v>29971</v>
      </c>
      <c r="O117" s="67">
        <v>29971</v>
      </c>
      <c r="P117" s="67">
        <v>29976</v>
      </c>
      <c r="Q117" s="169">
        <f t="shared" si="32"/>
        <v>457160</v>
      </c>
    </row>
    <row r="118" spans="1:19" s="170" customFormat="1">
      <c r="A118" s="190"/>
      <c r="B118" s="191" t="s">
        <v>228</v>
      </c>
      <c r="C118" s="192"/>
      <c r="D118" s="67">
        <v>600151</v>
      </c>
      <c r="E118" s="67">
        <v>48555</v>
      </c>
      <c r="F118" s="173">
        <v>49697</v>
      </c>
      <c r="G118" s="67">
        <v>75630</v>
      </c>
      <c r="H118" s="173">
        <v>67209</v>
      </c>
      <c r="I118" s="67">
        <v>81000</v>
      </c>
      <c r="J118" s="173">
        <v>51000</v>
      </c>
      <c r="K118" s="67">
        <v>50000</v>
      </c>
      <c r="L118" s="173">
        <v>50000</v>
      </c>
      <c r="M118" s="67">
        <v>63000</v>
      </c>
      <c r="N118" s="173">
        <f>18617+1636</f>
        <v>20253</v>
      </c>
      <c r="O118" s="67">
        <f>18617+1636</f>
        <v>20253</v>
      </c>
      <c r="P118" s="67">
        <f>18617+1637+500+2800</f>
        <v>23554</v>
      </c>
      <c r="Q118" s="169">
        <f t="shared" si="32"/>
        <v>600151</v>
      </c>
    </row>
    <row r="119" spans="1:19" s="170" customFormat="1">
      <c r="A119" s="190"/>
      <c r="B119" s="188" t="s">
        <v>145</v>
      </c>
      <c r="C119" s="192">
        <v>85407</v>
      </c>
      <c r="D119" s="181">
        <v>1261431</v>
      </c>
      <c r="E119" s="181">
        <v>100788</v>
      </c>
      <c r="F119" s="189">
        <v>111755</v>
      </c>
      <c r="G119" s="181">
        <v>161597</v>
      </c>
      <c r="H119" s="189">
        <v>156001</v>
      </c>
      <c r="I119" s="181">
        <v>129900</v>
      </c>
      <c r="J119" s="189">
        <v>100400</v>
      </c>
      <c r="K119" s="181">
        <v>104000</v>
      </c>
      <c r="L119" s="189">
        <v>96400</v>
      </c>
      <c r="M119" s="181">
        <v>96000</v>
      </c>
      <c r="N119" s="189">
        <v>111330</v>
      </c>
      <c r="O119" s="181">
        <f>33430+16610</f>
        <v>50040</v>
      </c>
      <c r="P119" s="181">
        <f>10000+33220</f>
        <v>43220</v>
      </c>
      <c r="Q119" s="169">
        <f t="shared" si="32"/>
        <v>1261431</v>
      </c>
    </row>
    <row r="120" spans="1:19" s="170" customFormat="1">
      <c r="A120" s="202"/>
      <c r="B120" s="188" t="s">
        <v>146</v>
      </c>
      <c r="C120" s="192">
        <v>85410</v>
      </c>
      <c r="D120" s="67">
        <f>SUM(D121:D122)</f>
        <v>1522915</v>
      </c>
      <c r="E120" s="67">
        <f t="shared" ref="E120:P120" si="50">SUM(E121:E122)</f>
        <v>92483</v>
      </c>
      <c r="F120" s="173">
        <f t="shared" si="50"/>
        <v>146609</v>
      </c>
      <c r="G120" s="67">
        <f t="shared" si="50"/>
        <v>164537</v>
      </c>
      <c r="H120" s="173">
        <f t="shared" si="50"/>
        <v>161991</v>
      </c>
      <c r="I120" s="67">
        <f t="shared" si="50"/>
        <v>143611</v>
      </c>
      <c r="J120" s="173">
        <f t="shared" si="50"/>
        <v>124840</v>
      </c>
      <c r="K120" s="67">
        <f t="shared" si="50"/>
        <v>107825</v>
      </c>
      <c r="L120" s="173">
        <f t="shared" si="50"/>
        <v>119876</v>
      </c>
      <c r="M120" s="67">
        <f t="shared" si="50"/>
        <v>132928</v>
      </c>
      <c r="N120" s="173">
        <f t="shared" si="50"/>
        <v>127619</v>
      </c>
      <c r="O120" s="67">
        <f t="shared" si="50"/>
        <v>110126</v>
      </c>
      <c r="P120" s="67">
        <f t="shared" si="50"/>
        <v>90470</v>
      </c>
      <c r="Q120" s="169">
        <f t="shared" si="32"/>
        <v>1522915</v>
      </c>
    </row>
    <row r="121" spans="1:19" s="170" customFormat="1">
      <c r="A121" s="190"/>
      <c r="B121" s="191" t="s">
        <v>229</v>
      </c>
      <c r="C121" s="192"/>
      <c r="D121" s="58">
        <v>700215</v>
      </c>
      <c r="E121" s="67">
        <v>42641</v>
      </c>
      <c r="F121" s="173">
        <v>72090</v>
      </c>
      <c r="G121" s="67">
        <v>77097</v>
      </c>
      <c r="H121" s="173">
        <v>69769</v>
      </c>
      <c r="I121" s="67">
        <f>61620-1289</f>
        <v>60331</v>
      </c>
      <c r="J121" s="173">
        <f>56993-1289</f>
        <v>55704</v>
      </c>
      <c r="K121" s="67">
        <f>52493-1289</f>
        <v>51204</v>
      </c>
      <c r="L121" s="173">
        <f>52493-1289</f>
        <v>51204</v>
      </c>
      <c r="M121" s="67">
        <f>56993-1289</f>
        <v>55704</v>
      </c>
      <c r="N121" s="173">
        <f>56993-1289</f>
        <v>55704</v>
      </c>
      <c r="O121" s="67">
        <f>56993-1289</f>
        <v>55704</v>
      </c>
      <c r="P121" s="67">
        <f>54352-1289</f>
        <v>53063</v>
      </c>
      <c r="Q121" s="169">
        <f t="shared" si="32"/>
        <v>700215</v>
      </c>
    </row>
    <row r="122" spans="1:19" s="170" customFormat="1">
      <c r="A122" s="190"/>
      <c r="B122" s="212" t="s">
        <v>215</v>
      </c>
      <c r="C122" s="192"/>
      <c r="D122" s="181">
        <v>822700</v>
      </c>
      <c r="E122" s="181">
        <v>49842</v>
      </c>
      <c r="F122" s="189">
        <v>74519</v>
      </c>
      <c r="G122" s="181">
        <v>87440</v>
      </c>
      <c r="H122" s="189">
        <v>92222</v>
      </c>
      <c r="I122" s="181">
        <v>83280</v>
      </c>
      <c r="J122" s="189">
        <v>69136</v>
      </c>
      <c r="K122" s="181">
        <v>56621</v>
      </c>
      <c r="L122" s="189">
        <v>68672</v>
      </c>
      <c r="M122" s="181">
        <v>77224</v>
      </c>
      <c r="N122" s="189">
        <v>71915</v>
      </c>
      <c r="O122" s="181">
        <v>54422</v>
      </c>
      <c r="P122" s="181">
        <f>36242+1165</f>
        <v>37407</v>
      </c>
      <c r="Q122" s="169">
        <f t="shared" si="32"/>
        <v>822700</v>
      </c>
    </row>
    <row r="123" spans="1:19" s="170" customFormat="1">
      <c r="A123" s="202"/>
      <c r="B123" s="188" t="s">
        <v>147</v>
      </c>
      <c r="C123" s="192">
        <v>85417</v>
      </c>
      <c r="D123" s="67">
        <f>SUM(D124:D125)</f>
        <v>296514</v>
      </c>
      <c r="E123" s="67">
        <f t="shared" ref="E123" si="51">SUM(E124:E125)</f>
        <v>8261</v>
      </c>
      <c r="F123" s="173">
        <f t="shared" ref="F123:P123" si="52">SUM(F124:F125)</f>
        <v>11401</v>
      </c>
      <c r="G123" s="67">
        <f t="shared" si="52"/>
        <v>28534</v>
      </c>
      <c r="H123" s="173">
        <f t="shared" si="52"/>
        <v>32776</v>
      </c>
      <c r="I123" s="67">
        <f t="shared" si="52"/>
        <v>20752</v>
      </c>
      <c r="J123" s="173">
        <f t="shared" si="52"/>
        <v>17794</v>
      </c>
      <c r="K123" s="67">
        <f t="shared" si="52"/>
        <v>31330</v>
      </c>
      <c r="L123" s="173">
        <f t="shared" si="52"/>
        <v>30427</v>
      </c>
      <c r="M123" s="67">
        <f t="shared" si="52"/>
        <v>31990</v>
      </c>
      <c r="N123" s="173">
        <f t="shared" si="52"/>
        <v>30470</v>
      </c>
      <c r="O123" s="67">
        <f t="shared" si="52"/>
        <v>26318</v>
      </c>
      <c r="P123" s="67">
        <f t="shared" si="52"/>
        <v>26461</v>
      </c>
      <c r="Q123" s="169">
        <f t="shared" si="32"/>
        <v>296514</v>
      </c>
    </row>
    <row r="124" spans="1:19" s="170" customFormat="1">
      <c r="A124" s="190"/>
      <c r="B124" s="191" t="s">
        <v>230</v>
      </c>
      <c r="C124" s="192"/>
      <c r="D124" s="67">
        <v>273492</v>
      </c>
      <c r="E124" s="67">
        <v>7205</v>
      </c>
      <c r="F124" s="173">
        <v>9412</v>
      </c>
      <c r="G124" s="67">
        <v>26118</v>
      </c>
      <c r="H124" s="173">
        <v>30708</v>
      </c>
      <c r="I124" s="67">
        <v>18600</v>
      </c>
      <c r="J124" s="173">
        <f>16100</f>
        <v>16100</v>
      </c>
      <c r="K124" s="67">
        <f>15500+13333</f>
        <v>28833</v>
      </c>
      <c r="L124" s="173">
        <f>15400+13333</f>
        <v>28733</v>
      </c>
      <c r="M124" s="67">
        <f>16400+13333</f>
        <v>29733</v>
      </c>
      <c r="N124" s="173">
        <f>15472+13333</f>
        <v>28805</v>
      </c>
      <c r="O124" s="67">
        <f>8500+2748+13333</f>
        <v>24581</v>
      </c>
      <c r="P124" s="67">
        <f>8580+2749+13335</f>
        <v>24664</v>
      </c>
      <c r="Q124" s="169">
        <f t="shared" si="32"/>
        <v>273492</v>
      </c>
    </row>
    <row r="125" spans="1:19" s="170" customFormat="1">
      <c r="A125" s="202"/>
      <c r="B125" s="191" t="s">
        <v>215</v>
      </c>
      <c r="C125" s="192"/>
      <c r="D125" s="67">
        <v>23022</v>
      </c>
      <c r="E125" s="67">
        <v>1056</v>
      </c>
      <c r="F125" s="173">
        <v>1989</v>
      </c>
      <c r="G125" s="67">
        <v>2416</v>
      </c>
      <c r="H125" s="173">
        <v>2068</v>
      </c>
      <c r="I125" s="67">
        <v>2152</v>
      </c>
      <c r="J125" s="173">
        <v>1694</v>
      </c>
      <c r="K125" s="67">
        <v>2497</v>
      </c>
      <c r="L125" s="173">
        <v>1694</v>
      </c>
      <c r="M125" s="67">
        <v>2257</v>
      </c>
      <c r="N125" s="173">
        <v>1665</v>
      </c>
      <c r="O125" s="67">
        <v>1737</v>
      </c>
      <c r="P125" s="67">
        <f>1941-144</f>
        <v>1797</v>
      </c>
      <c r="Q125" s="169">
        <f t="shared" si="32"/>
        <v>23022</v>
      </c>
    </row>
    <row r="126" spans="1:19" s="170" customFormat="1">
      <c r="A126" s="190"/>
      <c r="B126" s="188" t="s">
        <v>182</v>
      </c>
      <c r="C126" s="192">
        <v>85446</v>
      </c>
      <c r="D126" s="67">
        <v>9158</v>
      </c>
      <c r="E126" s="67"/>
      <c r="F126" s="173"/>
      <c r="G126" s="67"/>
      <c r="H126" s="173"/>
      <c r="I126" s="67"/>
      <c r="J126" s="173"/>
      <c r="K126" s="67"/>
      <c r="L126" s="173"/>
      <c r="M126" s="67"/>
      <c r="N126" s="173"/>
      <c r="O126" s="67"/>
      <c r="P126" s="67">
        <v>9158</v>
      </c>
      <c r="Q126" s="169">
        <f t="shared" si="32"/>
        <v>9158</v>
      </c>
    </row>
    <row r="127" spans="1:19" s="170" customFormat="1">
      <c r="A127" s="190"/>
      <c r="B127" s="188" t="s">
        <v>77</v>
      </c>
      <c r="C127" s="192">
        <v>85495</v>
      </c>
      <c r="D127" s="67">
        <v>94580</v>
      </c>
      <c r="E127" s="67"/>
      <c r="F127" s="173"/>
      <c r="G127" s="67"/>
      <c r="H127" s="173"/>
      <c r="I127" s="67"/>
      <c r="J127" s="173"/>
      <c r="K127" s="67"/>
      <c r="L127" s="173"/>
      <c r="M127" s="67"/>
      <c r="N127" s="173"/>
      <c r="O127" s="67"/>
      <c r="P127" s="67">
        <v>94580</v>
      </c>
      <c r="Q127" s="169">
        <f t="shared" si="32"/>
        <v>94580</v>
      </c>
    </row>
    <row r="128" spans="1:19" s="4" customFormat="1">
      <c r="A128" s="146">
        <v>855</v>
      </c>
      <c r="B128" s="143" t="s">
        <v>160</v>
      </c>
      <c r="C128" s="149"/>
      <c r="D128" s="76">
        <f>SUM(D129+D132+D135)</f>
        <v>3455398</v>
      </c>
      <c r="E128" s="76">
        <f t="shared" ref="E128" si="53">SUM(E129+E132+E135)</f>
        <v>264784</v>
      </c>
      <c r="F128" s="76">
        <f t="shared" ref="F128:P128" si="54">SUM(F129+F132+F135)</f>
        <v>292930</v>
      </c>
      <c r="G128" s="76">
        <f t="shared" si="54"/>
        <v>314730</v>
      </c>
      <c r="H128" s="76">
        <f t="shared" si="54"/>
        <v>267979</v>
      </c>
      <c r="I128" s="76">
        <f t="shared" si="54"/>
        <v>309238</v>
      </c>
      <c r="J128" s="76">
        <f t="shared" si="54"/>
        <v>285625</v>
      </c>
      <c r="K128" s="76">
        <f t="shared" si="54"/>
        <v>281525</v>
      </c>
      <c r="L128" s="76">
        <f t="shared" si="54"/>
        <v>283530</v>
      </c>
      <c r="M128" s="76">
        <f t="shared" si="54"/>
        <v>280730</v>
      </c>
      <c r="N128" s="76">
        <f t="shared" si="54"/>
        <v>296876</v>
      </c>
      <c r="O128" s="76">
        <f t="shared" si="54"/>
        <v>301718</v>
      </c>
      <c r="P128" s="76">
        <f t="shared" si="54"/>
        <v>275733</v>
      </c>
      <c r="Q128" s="100">
        <f t="shared" si="32"/>
        <v>3455398</v>
      </c>
      <c r="R128" s="170"/>
      <c r="S128" s="170"/>
    </row>
    <row r="129" spans="1:17" s="170" customFormat="1">
      <c r="A129" s="190"/>
      <c r="B129" s="188" t="s">
        <v>136</v>
      </c>
      <c r="C129" s="192">
        <v>85508</v>
      </c>
      <c r="D129" s="181">
        <f>SUM(D130:D131)</f>
        <v>2024944</v>
      </c>
      <c r="E129" s="181">
        <f t="shared" ref="E129" si="55">SUM(E130:E131)</f>
        <v>169342</v>
      </c>
      <c r="F129" s="181">
        <f t="shared" ref="F129:P129" si="56">SUM(F130:F131)</f>
        <v>187206</v>
      </c>
      <c r="G129" s="181">
        <f t="shared" si="56"/>
        <v>163948</v>
      </c>
      <c r="H129" s="181">
        <f t="shared" si="56"/>
        <v>163461</v>
      </c>
      <c r="I129" s="181">
        <f t="shared" si="56"/>
        <v>179681</v>
      </c>
      <c r="J129" s="181">
        <f t="shared" si="56"/>
        <v>181115</v>
      </c>
      <c r="K129" s="181">
        <f t="shared" si="56"/>
        <v>177015</v>
      </c>
      <c r="L129" s="181">
        <f t="shared" si="56"/>
        <v>178920</v>
      </c>
      <c r="M129" s="181">
        <f t="shared" si="56"/>
        <v>175620</v>
      </c>
      <c r="N129" s="181">
        <f t="shared" si="56"/>
        <v>185265</v>
      </c>
      <c r="O129" s="181">
        <f t="shared" si="56"/>
        <v>187220</v>
      </c>
      <c r="P129" s="181">
        <f t="shared" si="56"/>
        <v>76151</v>
      </c>
      <c r="Q129" s="169">
        <f t="shared" si="32"/>
        <v>2024944</v>
      </c>
    </row>
    <row r="130" spans="1:17" s="170" customFormat="1">
      <c r="A130" s="190"/>
      <c r="B130" s="191" t="s">
        <v>164</v>
      </c>
      <c r="C130" s="192"/>
      <c r="D130" s="67">
        <v>1543443</v>
      </c>
      <c r="E130" s="67">
        <v>126858</v>
      </c>
      <c r="F130" s="173">
        <v>146456</v>
      </c>
      <c r="G130" s="67">
        <v>124014</v>
      </c>
      <c r="H130" s="173">
        <v>125611</v>
      </c>
      <c r="I130" s="67">
        <v>137362</v>
      </c>
      <c r="J130" s="173">
        <v>138796</v>
      </c>
      <c r="K130" s="67">
        <v>134696</v>
      </c>
      <c r="L130" s="173">
        <v>136601</v>
      </c>
      <c r="M130" s="67">
        <v>133301</v>
      </c>
      <c r="N130" s="173">
        <v>142946</v>
      </c>
      <c r="O130" s="67">
        <v>144901</v>
      </c>
      <c r="P130" s="67">
        <f>37816+14085</f>
        <v>51901</v>
      </c>
      <c r="Q130" s="169">
        <f t="shared" si="32"/>
        <v>1543443</v>
      </c>
    </row>
    <row r="131" spans="1:17" s="170" customFormat="1">
      <c r="A131" s="190"/>
      <c r="B131" s="191" t="s">
        <v>165</v>
      </c>
      <c r="C131" s="192"/>
      <c r="D131" s="67">
        <v>481501</v>
      </c>
      <c r="E131" s="67">
        <v>42484</v>
      </c>
      <c r="F131" s="173">
        <v>40750</v>
      </c>
      <c r="G131" s="67">
        <v>39934</v>
      </c>
      <c r="H131" s="173">
        <v>37850</v>
      </c>
      <c r="I131" s="67">
        <v>42319</v>
      </c>
      <c r="J131" s="173">
        <v>42319</v>
      </c>
      <c r="K131" s="67">
        <v>42319</v>
      </c>
      <c r="L131" s="173">
        <v>42319</v>
      </c>
      <c r="M131" s="67">
        <v>42319</v>
      </c>
      <c r="N131" s="173">
        <v>42319</v>
      </c>
      <c r="O131" s="67">
        <v>42319</v>
      </c>
      <c r="P131" s="67">
        <f>15556+8694</f>
        <v>24250</v>
      </c>
      <c r="Q131" s="169">
        <f t="shared" si="32"/>
        <v>481501</v>
      </c>
    </row>
    <row r="132" spans="1:17" s="170" customFormat="1">
      <c r="A132" s="190"/>
      <c r="B132" s="188" t="s">
        <v>231</v>
      </c>
      <c r="C132" s="192">
        <v>85510</v>
      </c>
      <c r="D132" s="67">
        <f>SUM(D133:D134)</f>
        <v>1336458</v>
      </c>
      <c r="E132" s="67">
        <f t="shared" ref="E132" si="57">SUM(E133:E134)</f>
        <v>95442</v>
      </c>
      <c r="F132" s="67">
        <f t="shared" ref="F132:P132" si="58">SUM(F133:F134)</f>
        <v>105724</v>
      </c>
      <c r="G132" s="67">
        <f t="shared" si="58"/>
        <v>150782</v>
      </c>
      <c r="H132" s="67">
        <f t="shared" si="58"/>
        <v>104518</v>
      </c>
      <c r="I132" s="67">
        <f t="shared" si="58"/>
        <v>129557</v>
      </c>
      <c r="J132" s="67">
        <f t="shared" si="58"/>
        <v>104510</v>
      </c>
      <c r="K132" s="67">
        <f t="shared" si="58"/>
        <v>104510</v>
      </c>
      <c r="L132" s="67">
        <f t="shared" si="58"/>
        <v>104610</v>
      </c>
      <c r="M132" s="67">
        <f t="shared" si="58"/>
        <v>105110</v>
      </c>
      <c r="N132" s="67">
        <f t="shared" si="58"/>
        <v>111611</v>
      </c>
      <c r="O132" s="67">
        <f t="shared" si="58"/>
        <v>114498</v>
      </c>
      <c r="P132" s="67">
        <f t="shared" si="58"/>
        <v>105586</v>
      </c>
      <c r="Q132" s="169">
        <f t="shared" si="32"/>
        <v>1336458</v>
      </c>
    </row>
    <row r="133" spans="1:17" s="170" customFormat="1">
      <c r="A133" s="190"/>
      <c r="B133" s="191" t="s">
        <v>163</v>
      </c>
      <c r="C133" s="192"/>
      <c r="D133" s="67">
        <v>154038</v>
      </c>
      <c r="E133" s="67">
        <v>5566</v>
      </c>
      <c r="F133" s="173">
        <v>16633</v>
      </c>
      <c r="G133" s="67">
        <v>12166</v>
      </c>
      <c r="H133" s="173">
        <v>12766</v>
      </c>
      <c r="I133" s="67">
        <v>11229</v>
      </c>
      <c r="J133" s="173">
        <v>11229</v>
      </c>
      <c r="K133" s="67">
        <v>11229</v>
      </c>
      <c r="L133" s="173">
        <v>11229</v>
      </c>
      <c r="M133" s="67">
        <v>11729</v>
      </c>
      <c r="N133" s="173">
        <v>18329</v>
      </c>
      <c r="O133" s="67">
        <v>19829</v>
      </c>
      <c r="P133" s="67">
        <f>101+12003</f>
        <v>12104</v>
      </c>
      <c r="Q133" s="169">
        <f t="shared" si="32"/>
        <v>154038</v>
      </c>
    </row>
    <row r="134" spans="1:17" s="172" customFormat="1">
      <c r="A134" s="190"/>
      <c r="B134" s="191" t="s">
        <v>221</v>
      </c>
      <c r="C134" s="192"/>
      <c r="D134" s="67">
        <v>1182420</v>
      </c>
      <c r="E134" s="67">
        <v>89876</v>
      </c>
      <c r="F134" s="173">
        <v>89091</v>
      </c>
      <c r="G134" s="67">
        <v>138616</v>
      </c>
      <c r="H134" s="173">
        <v>91752</v>
      </c>
      <c r="I134" s="67">
        <f>91400+1881+25047</f>
        <v>118328</v>
      </c>
      <c r="J134" s="173">
        <f>91400+1881</f>
        <v>93281</v>
      </c>
      <c r="K134" s="67">
        <f>91400+1881</f>
        <v>93281</v>
      </c>
      <c r="L134" s="173">
        <f>91500+1881</f>
        <v>93381</v>
      </c>
      <c r="M134" s="67">
        <f>91500+1881</f>
        <v>93381</v>
      </c>
      <c r="N134" s="173">
        <f>91400+1882</f>
        <v>93282</v>
      </c>
      <c r="O134" s="67">
        <f>92787+1882</f>
        <v>94669</v>
      </c>
      <c r="P134" s="67">
        <f>91600+1882</f>
        <v>93482</v>
      </c>
      <c r="Q134" s="171">
        <f t="shared" si="32"/>
        <v>1182420</v>
      </c>
    </row>
    <row r="135" spans="1:17" s="170" customFormat="1">
      <c r="A135" s="190"/>
      <c r="B135" s="188" t="s">
        <v>77</v>
      </c>
      <c r="C135" s="192">
        <v>85595</v>
      </c>
      <c r="D135" s="67">
        <v>93996</v>
      </c>
      <c r="E135" s="67"/>
      <c r="F135" s="173"/>
      <c r="G135" s="67"/>
      <c r="H135" s="173"/>
      <c r="I135" s="67"/>
      <c r="J135" s="173"/>
      <c r="K135" s="67"/>
      <c r="L135" s="173"/>
      <c r="M135" s="67"/>
      <c r="N135" s="173"/>
      <c r="O135" s="67"/>
      <c r="P135" s="67">
        <v>93996</v>
      </c>
      <c r="Q135" s="169">
        <f t="shared" si="32"/>
        <v>93996</v>
      </c>
    </row>
    <row r="136" spans="1:17">
      <c r="A136" s="146">
        <v>900</v>
      </c>
      <c r="B136" s="143" t="s">
        <v>149</v>
      </c>
      <c r="C136" s="149"/>
      <c r="D136" s="55">
        <f>SUM(D137)</f>
        <v>1750</v>
      </c>
      <c r="E136" s="55">
        <f t="shared" ref="E136" si="59">SUM(E137)</f>
        <v>0</v>
      </c>
      <c r="F136" s="56">
        <f t="shared" ref="F136:P136" si="60">SUM(F137)</f>
        <v>0</v>
      </c>
      <c r="G136" s="55">
        <f t="shared" si="60"/>
        <v>0</v>
      </c>
      <c r="H136" s="56">
        <f t="shared" si="60"/>
        <v>0</v>
      </c>
      <c r="I136" s="55">
        <f t="shared" si="60"/>
        <v>0</v>
      </c>
      <c r="J136" s="56">
        <f t="shared" si="60"/>
        <v>0</v>
      </c>
      <c r="K136" s="55">
        <f t="shared" si="60"/>
        <v>0</v>
      </c>
      <c r="L136" s="56">
        <f t="shared" si="60"/>
        <v>0</v>
      </c>
      <c r="M136" s="55">
        <f t="shared" si="60"/>
        <v>1750</v>
      </c>
      <c r="N136" s="56">
        <f t="shared" si="60"/>
        <v>0</v>
      </c>
      <c r="O136" s="55">
        <f t="shared" si="60"/>
        <v>0</v>
      </c>
      <c r="P136" s="55">
        <f t="shared" si="60"/>
        <v>0</v>
      </c>
      <c r="Q136" s="100">
        <f t="shared" si="32"/>
        <v>1750</v>
      </c>
    </row>
    <row r="137" spans="1:17" s="170" customFormat="1">
      <c r="A137" s="190"/>
      <c r="B137" s="188" t="s">
        <v>77</v>
      </c>
      <c r="C137" s="192">
        <v>90095</v>
      </c>
      <c r="D137" s="67">
        <v>1750</v>
      </c>
      <c r="E137" s="67"/>
      <c r="F137" s="173"/>
      <c r="G137" s="67"/>
      <c r="H137" s="173"/>
      <c r="I137" s="67"/>
      <c r="J137" s="173"/>
      <c r="K137" s="67"/>
      <c r="L137" s="173"/>
      <c r="M137" s="67">
        <v>1750</v>
      </c>
      <c r="N137" s="173"/>
      <c r="O137" s="67"/>
      <c r="P137" s="67"/>
      <c r="Q137" s="169">
        <f t="shared" si="32"/>
        <v>1750</v>
      </c>
    </row>
    <row r="138" spans="1:17">
      <c r="A138" s="146">
        <v>921</v>
      </c>
      <c r="B138" s="143" t="s">
        <v>194</v>
      </c>
      <c r="C138" s="149"/>
      <c r="D138" s="55">
        <f>SUM(D139:D141)</f>
        <v>346840</v>
      </c>
      <c r="E138" s="55">
        <f t="shared" ref="E138" si="61">SUM(E139:E141)</f>
        <v>28960</v>
      </c>
      <c r="F138" s="56">
        <f t="shared" ref="F138:P138" si="62">SUM(F139:F141)</f>
        <v>4100</v>
      </c>
      <c r="G138" s="55">
        <f t="shared" si="62"/>
        <v>55000</v>
      </c>
      <c r="H138" s="56">
        <f t="shared" si="62"/>
        <v>127649</v>
      </c>
      <c r="I138" s="55">
        <f t="shared" si="62"/>
        <v>52500</v>
      </c>
      <c r="J138" s="56">
        <f t="shared" si="62"/>
        <v>4660</v>
      </c>
      <c r="K138" s="55">
        <f t="shared" si="62"/>
        <v>6051</v>
      </c>
      <c r="L138" s="56">
        <f t="shared" si="62"/>
        <v>3000</v>
      </c>
      <c r="M138" s="55">
        <f t="shared" si="62"/>
        <v>0</v>
      </c>
      <c r="N138" s="56">
        <f t="shared" si="62"/>
        <v>3500</v>
      </c>
      <c r="O138" s="55">
        <f t="shared" si="62"/>
        <v>0</v>
      </c>
      <c r="P138" s="55">
        <f t="shared" si="62"/>
        <v>61420</v>
      </c>
      <c r="Q138" s="100">
        <f t="shared" si="32"/>
        <v>346840</v>
      </c>
    </row>
    <row r="139" spans="1:17" s="170" customFormat="1">
      <c r="A139" s="190"/>
      <c r="B139" s="188" t="s">
        <v>195</v>
      </c>
      <c r="C139" s="192">
        <v>92116</v>
      </c>
      <c r="D139" s="73">
        <v>126840</v>
      </c>
      <c r="E139" s="73">
        <v>28960</v>
      </c>
      <c r="F139" s="193">
        <v>0</v>
      </c>
      <c r="G139" s="73">
        <v>0</v>
      </c>
      <c r="H139" s="193">
        <v>36460</v>
      </c>
      <c r="I139" s="73"/>
      <c r="J139" s="193"/>
      <c r="K139" s="73"/>
      <c r="L139" s="193"/>
      <c r="M139" s="73"/>
      <c r="N139" s="193"/>
      <c r="O139" s="73"/>
      <c r="P139" s="73">
        <v>61420</v>
      </c>
      <c r="Q139" s="169">
        <f t="shared" si="32"/>
        <v>126840</v>
      </c>
    </row>
    <row r="140" spans="1:17" s="170" customFormat="1">
      <c r="A140" s="190"/>
      <c r="B140" s="188" t="s">
        <v>196</v>
      </c>
      <c r="C140" s="192">
        <v>92120</v>
      </c>
      <c r="D140" s="67">
        <v>70000</v>
      </c>
      <c r="E140" s="67"/>
      <c r="F140" s="173"/>
      <c r="G140" s="67"/>
      <c r="H140" s="173">
        <v>35000</v>
      </c>
      <c r="I140" s="67">
        <v>35000</v>
      </c>
      <c r="J140" s="173"/>
      <c r="K140" s="67"/>
      <c r="L140" s="173"/>
      <c r="M140" s="67"/>
      <c r="N140" s="173"/>
      <c r="O140" s="67"/>
      <c r="P140" s="67"/>
      <c r="Q140" s="169">
        <f t="shared" si="32"/>
        <v>70000</v>
      </c>
    </row>
    <row r="141" spans="1:17" s="170" customFormat="1">
      <c r="A141" s="190"/>
      <c r="B141" s="188" t="s">
        <v>77</v>
      </c>
      <c r="C141" s="192">
        <v>92195</v>
      </c>
      <c r="D141" s="73">
        <v>150000</v>
      </c>
      <c r="E141" s="73"/>
      <c r="F141" s="193">
        <v>4100</v>
      </c>
      <c r="G141" s="73">
        <v>55000</v>
      </c>
      <c r="H141" s="193">
        <v>56189</v>
      </c>
      <c r="I141" s="73">
        <v>17500</v>
      </c>
      <c r="J141" s="193">
        <v>4660</v>
      </c>
      <c r="K141" s="73">
        <v>6051</v>
      </c>
      <c r="L141" s="193">
        <v>3000</v>
      </c>
      <c r="M141" s="73"/>
      <c r="N141" s="193">
        <v>3500</v>
      </c>
      <c r="O141" s="73"/>
      <c r="P141" s="73"/>
      <c r="Q141" s="169">
        <f t="shared" si="32"/>
        <v>150000</v>
      </c>
    </row>
    <row r="142" spans="1:17">
      <c r="A142" s="146">
        <v>926</v>
      </c>
      <c r="B142" s="143" t="s">
        <v>197</v>
      </c>
      <c r="C142" s="149"/>
      <c r="D142" s="55">
        <f>SUM(D143:D144)</f>
        <v>149802</v>
      </c>
      <c r="E142" s="55">
        <f t="shared" ref="E142" si="63">SUM(E143:E144)</f>
        <v>0</v>
      </c>
      <c r="F142" s="56">
        <f t="shared" ref="F142:P142" si="64">SUM(F143:F144)</f>
        <v>20668</v>
      </c>
      <c r="G142" s="55">
        <f t="shared" si="64"/>
        <v>66652</v>
      </c>
      <c r="H142" s="56">
        <f t="shared" si="64"/>
        <v>10500</v>
      </c>
      <c r="I142" s="55">
        <f t="shared" si="64"/>
        <v>0</v>
      </c>
      <c r="J142" s="56">
        <f t="shared" si="64"/>
        <v>0</v>
      </c>
      <c r="K142" s="55">
        <f t="shared" si="64"/>
        <v>0</v>
      </c>
      <c r="L142" s="56">
        <f t="shared" si="64"/>
        <v>0</v>
      </c>
      <c r="M142" s="55">
        <f t="shared" si="64"/>
        <v>0</v>
      </c>
      <c r="N142" s="56">
        <f t="shared" si="64"/>
        <v>0</v>
      </c>
      <c r="O142" s="55">
        <f t="shared" si="64"/>
        <v>0</v>
      </c>
      <c r="P142" s="55">
        <f t="shared" si="64"/>
        <v>51982</v>
      </c>
      <c r="Q142" s="100">
        <f t="shared" ref="Q142:Q148" si="65">SUM(E142:P142)</f>
        <v>149802</v>
      </c>
    </row>
    <row r="143" spans="1:17" s="170" customFormat="1">
      <c r="A143" s="187"/>
      <c r="B143" s="188" t="s">
        <v>198</v>
      </c>
      <c r="C143" s="192">
        <v>92605</v>
      </c>
      <c r="D143" s="73">
        <v>110000</v>
      </c>
      <c r="E143" s="73"/>
      <c r="F143" s="193"/>
      <c r="G143" s="73">
        <v>65500</v>
      </c>
      <c r="H143" s="193">
        <v>10500</v>
      </c>
      <c r="I143" s="73"/>
      <c r="J143" s="193"/>
      <c r="K143" s="73"/>
      <c r="L143" s="193"/>
      <c r="M143" s="73"/>
      <c r="N143" s="193"/>
      <c r="O143" s="73"/>
      <c r="P143" s="73">
        <v>34000</v>
      </c>
      <c r="Q143" s="169">
        <f t="shared" si="65"/>
        <v>110000</v>
      </c>
    </row>
    <row r="144" spans="1:17" s="170" customFormat="1" ht="15.75" thickBot="1">
      <c r="A144" s="213"/>
      <c r="B144" s="214" t="s">
        <v>77</v>
      </c>
      <c r="C144" s="215">
        <v>92695</v>
      </c>
      <c r="D144" s="216">
        <v>39802</v>
      </c>
      <c r="E144" s="216"/>
      <c r="F144" s="217">
        <v>20668</v>
      </c>
      <c r="G144" s="216">
        <v>1152</v>
      </c>
      <c r="H144" s="217"/>
      <c r="I144" s="216"/>
      <c r="J144" s="217"/>
      <c r="K144" s="216"/>
      <c r="L144" s="217"/>
      <c r="M144" s="216"/>
      <c r="N144" s="217"/>
      <c r="O144" s="216"/>
      <c r="P144" s="216">
        <v>17982</v>
      </c>
      <c r="Q144" s="169">
        <f t="shared" si="65"/>
        <v>39802</v>
      </c>
    </row>
    <row r="145" spans="1:17">
      <c r="A145" s="153"/>
      <c r="B145" s="154" t="s">
        <v>199</v>
      </c>
      <c r="C145" s="155"/>
      <c r="D145" s="125">
        <f>SUM(D142+D138+D136+D114+D109+D96+D88+D50+D47+D45+D40+D33+D29+D26+D24+D19+D15+D12+D128+D43)</f>
        <v>67379675</v>
      </c>
      <c r="E145" s="125">
        <f t="shared" ref="E145:Q145" si="66">SUM(E142+E138+E136+E114+E109+E96+E88+E50+E47+E45+E40+E33+E29+E26+E24+E19+E15+E12+E128+E43)</f>
        <v>4642652</v>
      </c>
      <c r="F145" s="125">
        <f t="shared" si="66"/>
        <v>6150344</v>
      </c>
      <c r="G145" s="125">
        <f t="shared" si="66"/>
        <v>7075845</v>
      </c>
      <c r="H145" s="125">
        <f t="shared" si="66"/>
        <v>6278887</v>
      </c>
      <c r="I145" s="125">
        <f t="shared" si="66"/>
        <v>5879366</v>
      </c>
      <c r="J145" s="125">
        <f t="shared" si="66"/>
        <v>5287570</v>
      </c>
      <c r="K145" s="125">
        <f t="shared" si="66"/>
        <v>5037134</v>
      </c>
      <c r="L145" s="125">
        <f t="shared" si="66"/>
        <v>5115158</v>
      </c>
      <c r="M145" s="125">
        <f t="shared" si="66"/>
        <v>5211780</v>
      </c>
      <c r="N145" s="125">
        <f t="shared" si="66"/>
        <v>4801944</v>
      </c>
      <c r="O145" s="125">
        <f t="shared" si="66"/>
        <v>4505539</v>
      </c>
      <c r="P145" s="125">
        <f t="shared" si="66"/>
        <v>7393456</v>
      </c>
      <c r="Q145" s="125">
        <f t="shared" si="66"/>
        <v>67379675</v>
      </c>
    </row>
    <row r="146" spans="1:17" hidden="1">
      <c r="A146" s="150"/>
      <c r="B146" s="156" t="s">
        <v>200</v>
      </c>
      <c r="C146" s="148"/>
      <c r="D146" s="126">
        <f t="shared" ref="D146:P146" si="67">SUM(D147:D147)</f>
        <v>2239712</v>
      </c>
      <c r="E146" s="127">
        <f t="shared" si="67"/>
        <v>19613.34</v>
      </c>
      <c r="F146" s="128">
        <f t="shared" si="67"/>
        <v>0</v>
      </c>
      <c r="G146" s="127">
        <f t="shared" si="67"/>
        <v>540314.41</v>
      </c>
      <c r="H146" s="128">
        <f t="shared" si="67"/>
        <v>19613.34</v>
      </c>
      <c r="I146" s="127">
        <f t="shared" si="67"/>
        <v>0</v>
      </c>
      <c r="J146" s="128">
        <f t="shared" si="67"/>
        <v>540314.41</v>
      </c>
      <c r="K146" s="127">
        <f t="shared" si="67"/>
        <v>19613.34</v>
      </c>
      <c r="L146" s="128">
        <f t="shared" si="67"/>
        <v>0</v>
      </c>
      <c r="M146" s="127">
        <f t="shared" si="67"/>
        <v>540314.41</v>
      </c>
      <c r="N146" s="128">
        <f t="shared" si="67"/>
        <v>19613.34</v>
      </c>
      <c r="O146" s="127">
        <f t="shared" si="67"/>
        <v>0</v>
      </c>
      <c r="P146" s="127">
        <f t="shared" si="67"/>
        <v>540314.41</v>
      </c>
      <c r="Q146" s="100">
        <f t="shared" si="65"/>
        <v>2239711</v>
      </c>
    </row>
    <row r="147" spans="1:17" hidden="1">
      <c r="A147" s="151"/>
      <c r="B147" s="152" t="s">
        <v>201</v>
      </c>
      <c r="C147" s="157" t="s">
        <v>202</v>
      </c>
      <c r="D147" s="129">
        <v>2239712</v>
      </c>
      <c r="E147" s="130">
        <v>19613.34</v>
      </c>
      <c r="F147" s="131"/>
      <c r="G147" s="130">
        <v>540314.41</v>
      </c>
      <c r="H147" s="131">
        <v>19613.34</v>
      </c>
      <c r="I147" s="130"/>
      <c r="J147" s="132">
        <v>540314.41</v>
      </c>
      <c r="K147" s="130">
        <v>19613.34</v>
      </c>
      <c r="L147" s="131"/>
      <c r="M147" s="130">
        <v>540314.41</v>
      </c>
      <c r="N147" s="131">
        <v>19613.34</v>
      </c>
      <c r="O147" s="130"/>
      <c r="P147" s="130">
        <v>540314.41</v>
      </c>
      <c r="Q147" s="100">
        <f t="shared" si="65"/>
        <v>2239711</v>
      </c>
    </row>
    <row r="148" spans="1:17" ht="15.75" hidden="1" thickBot="1">
      <c r="A148" s="158"/>
      <c r="B148" s="159" t="s">
        <v>203</v>
      </c>
      <c r="C148" s="160"/>
      <c r="D148" s="133">
        <f t="shared" ref="D148:H148" si="68">SUM(D145+D146)</f>
        <v>69619387</v>
      </c>
      <c r="E148" s="133">
        <f t="shared" si="68"/>
        <v>4662265.34</v>
      </c>
      <c r="F148" s="134">
        <f t="shared" si="68"/>
        <v>6150344</v>
      </c>
      <c r="G148" s="133">
        <f t="shared" si="68"/>
        <v>7616159.4100000001</v>
      </c>
      <c r="H148" s="134">
        <f t="shared" si="68"/>
        <v>6298500.3399999999</v>
      </c>
      <c r="I148" s="133">
        <f t="shared" ref="I148:P148" si="69">SUM(I145+I146)</f>
        <v>5879366</v>
      </c>
      <c r="J148" s="134">
        <f t="shared" si="69"/>
        <v>5827884.4100000001</v>
      </c>
      <c r="K148" s="133">
        <f t="shared" si="69"/>
        <v>5056747.34</v>
      </c>
      <c r="L148" s="134">
        <f t="shared" si="69"/>
        <v>5115158</v>
      </c>
      <c r="M148" s="133">
        <f t="shared" si="69"/>
        <v>5752094.4100000001</v>
      </c>
      <c r="N148" s="134">
        <f t="shared" si="69"/>
        <v>4821557.34</v>
      </c>
      <c r="O148" s="133">
        <f t="shared" si="69"/>
        <v>4505539</v>
      </c>
      <c r="P148" s="133">
        <f t="shared" si="69"/>
        <v>7933770.4100000001</v>
      </c>
      <c r="Q148" s="100">
        <f t="shared" si="65"/>
        <v>69619386</v>
      </c>
    </row>
  </sheetData>
  <mergeCells count="18">
    <mergeCell ref="I8:I10"/>
    <mergeCell ref="J8:J10"/>
    <mergeCell ref="K8:K10"/>
    <mergeCell ref="L8:L10"/>
    <mergeCell ref="M8:M10"/>
    <mergeCell ref="N8:N10"/>
    <mergeCell ref="A6:P6"/>
    <mergeCell ref="A7:P7"/>
    <mergeCell ref="A8:A10"/>
    <mergeCell ref="B8:B10"/>
    <mergeCell ref="C8:C10"/>
    <mergeCell ref="D8:D10"/>
    <mergeCell ref="E8:E10"/>
    <mergeCell ref="F8:F10"/>
    <mergeCell ref="G8:G10"/>
    <mergeCell ref="H8:H10"/>
    <mergeCell ref="O8:O10"/>
    <mergeCell ref="P8:P10"/>
  </mergeCells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workbookViewId="0">
      <selection activeCell="A76" sqref="A1:P76"/>
    </sheetView>
  </sheetViews>
  <sheetFormatPr defaultRowHeight="15"/>
  <cols>
    <col min="1" max="1" width="21.85546875" customWidth="1"/>
    <col min="2" max="2" width="9.85546875" bestFit="1" customWidth="1"/>
    <col min="10" max="10" width="10.140625" bestFit="1" customWidth="1"/>
    <col min="14" max="14" width="10" customWidth="1"/>
    <col min="15" max="15" width="14.85546875" customWidth="1"/>
    <col min="16" max="16" width="3.7109375" customWidth="1"/>
  </cols>
  <sheetData>
    <row r="1" spans="1:16" s="1" customFormat="1">
      <c r="M1" s="3" t="s">
        <v>253</v>
      </c>
    </row>
    <row r="2" spans="1:16" s="1" customFormat="1">
      <c r="M2" s="2" t="s">
        <v>249</v>
      </c>
    </row>
    <row r="3" spans="1:16" s="1" customFormat="1">
      <c r="M3" s="2" t="s">
        <v>1</v>
      </c>
    </row>
    <row r="4" spans="1:16" s="1" customFormat="1">
      <c r="M4" s="2" t="s">
        <v>2</v>
      </c>
    </row>
    <row r="5" spans="1:16" s="1" customFormat="1"/>
    <row r="6" spans="1:16">
      <c r="A6" s="283" t="s">
        <v>252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</row>
    <row r="7" spans="1:16" ht="15.75" thickBot="1"/>
    <row r="8" spans="1:16" ht="15.75" thickBot="1">
      <c r="A8" s="7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8" t="s">
        <v>14</v>
      </c>
      <c r="M8" s="8" t="s">
        <v>15</v>
      </c>
      <c r="N8" s="12" t="s">
        <v>16</v>
      </c>
      <c r="O8" s="13" t="s">
        <v>244</v>
      </c>
      <c r="P8" s="4"/>
    </row>
    <row r="9" spans="1:16">
      <c r="A9" s="290" t="s">
        <v>33</v>
      </c>
      <c r="B9" s="291"/>
      <c r="C9" s="291"/>
      <c r="D9" s="291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14"/>
      <c r="P9" s="4"/>
    </row>
    <row r="10" spans="1:16">
      <c r="A10" s="284" t="s">
        <v>42</v>
      </c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6"/>
      <c r="P10" s="4"/>
    </row>
    <row r="11" spans="1:16" ht="15.75" thickBot="1">
      <c r="A11" s="287" t="s">
        <v>18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9"/>
      <c r="P11" s="4"/>
    </row>
    <row r="12" spans="1:16">
      <c r="A12" s="32" t="s">
        <v>43</v>
      </c>
      <c r="B12" s="16">
        <f>SUM(B13+B19)</f>
        <v>19927809</v>
      </c>
      <c r="C12" s="16">
        <f t="shared" ref="C12:N12" si="0">SUM(C13+C19)</f>
        <v>4250</v>
      </c>
      <c r="D12" s="16">
        <f t="shared" si="0"/>
        <v>4250</v>
      </c>
      <c r="E12" s="16">
        <f t="shared" si="0"/>
        <v>581216</v>
      </c>
      <c r="F12" s="16">
        <f t="shared" si="0"/>
        <v>581216</v>
      </c>
      <c r="G12" s="16">
        <f t="shared" si="0"/>
        <v>4857481</v>
      </c>
      <c r="H12" s="16">
        <f t="shared" si="0"/>
        <v>-2244989</v>
      </c>
      <c r="I12" s="16">
        <f t="shared" si="0"/>
        <v>115071</v>
      </c>
      <c r="J12" s="16">
        <f t="shared" si="0"/>
        <v>566</v>
      </c>
      <c r="K12" s="16">
        <f t="shared" si="0"/>
        <v>148356</v>
      </c>
      <c r="L12" s="16">
        <f t="shared" si="0"/>
        <v>6948164</v>
      </c>
      <c r="M12" s="16">
        <f t="shared" si="0"/>
        <v>0</v>
      </c>
      <c r="N12" s="16">
        <f t="shared" si="0"/>
        <v>5218918</v>
      </c>
      <c r="O12" s="17">
        <f>SUM(C12:N12)</f>
        <v>16214499</v>
      </c>
      <c r="P12" s="4" t="s">
        <v>243</v>
      </c>
    </row>
    <row r="13" spans="1:16">
      <c r="A13" s="15" t="s">
        <v>44</v>
      </c>
      <c r="B13" s="16">
        <f>SUM(B14:B18)</f>
        <v>70036</v>
      </c>
      <c r="C13" s="16">
        <f t="shared" ref="C13:N13" si="1">SUM(C14:C18)</f>
        <v>4250</v>
      </c>
      <c r="D13" s="16">
        <f t="shared" si="1"/>
        <v>4250</v>
      </c>
      <c r="E13" s="16">
        <f t="shared" si="1"/>
        <v>1703</v>
      </c>
      <c r="F13" s="16">
        <f t="shared" si="1"/>
        <v>1703</v>
      </c>
      <c r="G13" s="16">
        <f t="shared" si="1"/>
        <v>1706</v>
      </c>
      <c r="H13" s="16">
        <f t="shared" si="1"/>
        <v>4250</v>
      </c>
      <c r="I13" s="16">
        <f t="shared" si="1"/>
        <v>0</v>
      </c>
      <c r="J13" s="16">
        <f t="shared" si="1"/>
        <v>566</v>
      </c>
      <c r="K13" s="16">
        <f t="shared" si="1"/>
        <v>22365</v>
      </c>
      <c r="L13" s="16">
        <f t="shared" si="1"/>
        <v>0</v>
      </c>
      <c r="M13" s="16">
        <f t="shared" si="1"/>
        <v>0</v>
      </c>
      <c r="N13" s="16">
        <f t="shared" si="1"/>
        <v>4258</v>
      </c>
      <c r="O13" s="31">
        <f>SUM(C13:N13)</f>
        <v>45051</v>
      </c>
      <c r="P13" s="4"/>
    </row>
    <row r="14" spans="1:16">
      <c r="A14" s="18" t="s">
        <v>28</v>
      </c>
      <c r="B14" s="19">
        <v>64358</v>
      </c>
      <c r="C14" s="19">
        <v>4250</v>
      </c>
      <c r="D14" s="19">
        <v>4250</v>
      </c>
      <c r="E14" s="19"/>
      <c r="F14" s="19"/>
      <c r="G14" s="19"/>
      <c r="H14" s="19">
        <v>4250</v>
      </c>
      <c r="I14" s="19"/>
      <c r="J14" s="19"/>
      <c r="K14" s="19">
        <v>22365</v>
      </c>
      <c r="L14" s="19"/>
      <c r="M14" s="19"/>
      <c r="N14" s="20">
        <v>4258</v>
      </c>
      <c r="O14" s="21">
        <f>SUM(C14:N14)</f>
        <v>39373</v>
      </c>
      <c r="P14" s="4"/>
    </row>
    <row r="15" spans="1:16">
      <c r="A15" s="18" t="s">
        <v>45</v>
      </c>
      <c r="B15" s="19">
        <v>1136</v>
      </c>
      <c r="C15" s="19"/>
      <c r="D15" s="19"/>
      <c r="E15" s="19"/>
      <c r="F15" s="19"/>
      <c r="G15" s="19">
        <v>570</v>
      </c>
      <c r="H15" s="19"/>
      <c r="I15" s="19"/>
      <c r="J15" s="19">
        <v>566</v>
      </c>
      <c r="K15" s="19"/>
      <c r="L15" s="19"/>
      <c r="M15" s="19"/>
      <c r="N15" s="20"/>
      <c r="O15" s="21">
        <f t="shared" ref="O15:O18" si="2">SUM(C15:N15)</f>
        <v>1136</v>
      </c>
      <c r="P15" s="4"/>
    </row>
    <row r="16" spans="1:16">
      <c r="A16" s="18" t="s">
        <v>25</v>
      </c>
      <c r="B16" s="19">
        <v>1703</v>
      </c>
      <c r="C16" s="19"/>
      <c r="D16" s="19"/>
      <c r="E16" s="19">
        <v>1703</v>
      </c>
      <c r="F16" s="19"/>
      <c r="G16" s="19"/>
      <c r="H16" s="19"/>
      <c r="I16" s="19"/>
      <c r="J16" s="19"/>
      <c r="K16" s="19"/>
      <c r="L16" s="19"/>
      <c r="M16" s="19"/>
      <c r="N16" s="20"/>
      <c r="O16" s="21">
        <f t="shared" si="2"/>
        <v>1703</v>
      </c>
      <c r="P16" s="4"/>
    </row>
    <row r="17" spans="1:16">
      <c r="A17" s="18" t="s">
        <v>27</v>
      </c>
      <c r="B17" s="19">
        <v>1703</v>
      </c>
      <c r="C17" s="19"/>
      <c r="D17" s="19"/>
      <c r="E17" s="19"/>
      <c r="F17" s="19">
        <v>1703</v>
      </c>
      <c r="G17" s="19"/>
      <c r="H17" s="19"/>
      <c r="I17" s="19"/>
      <c r="J17" s="19"/>
      <c r="K17" s="19"/>
      <c r="L17" s="19"/>
      <c r="M17" s="19"/>
      <c r="N17" s="20"/>
      <c r="O17" s="21">
        <f t="shared" si="2"/>
        <v>1703</v>
      </c>
      <c r="P17" s="4"/>
    </row>
    <row r="18" spans="1:16">
      <c r="A18" s="18" t="s">
        <v>26</v>
      </c>
      <c r="B18" s="19">
        <v>1136</v>
      </c>
      <c r="C18" s="19"/>
      <c r="D18" s="19"/>
      <c r="E18" s="19"/>
      <c r="F18" s="19"/>
      <c r="G18" s="19">
        <v>1136</v>
      </c>
      <c r="H18" s="19"/>
      <c r="I18" s="19"/>
      <c r="J18" s="19"/>
      <c r="K18" s="19"/>
      <c r="L18" s="19"/>
      <c r="M18" s="19"/>
      <c r="N18" s="20"/>
      <c r="O18" s="21">
        <f t="shared" si="2"/>
        <v>1136</v>
      </c>
      <c r="P18" s="4"/>
    </row>
    <row r="19" spans="1:16">
      <c r="A19" s="15" t="s">
        <v>46</v>
      </c>
      <c r="B19" s="16">
        <f>SUM(B20:B24)</f>
        <v>19857773</v>
      </c>
      <c r="C19" s="16">
        <f t="shared" ref="C19:N19" si="3">SUM(C20:C24)</f>
        <v>0</v>
      </c>
      <c r="D19" s="16">
        <f t="shared" si="3"/>
        <v>0</v>
      </c>
      <c r="E19" s="16">
        <f t="shared" si="3"/>
        <v>579513</v>
      </c>
      <c r="F19" s="16">
        <f t="shared" si="3"/>
        <v>579513</v>
      </c>
      <c r="G19" s="16">
        <f t="shared" si="3"/>
        <v>4855775</v>
      </c>
      <c r="H19" s="16">
        <f t="shared" si="3"/>
        <v>-2249239</v>
      </c>
      <c r="I19" s="16">
        <f t="shared" si="3"/>
        <v>115071</v>
      </c>
      <c r="J19" s="16">
        <f t="shared" si="3"/>
        <v>0</v>
      </c>
      <c r="K19" s="16">
        <f t="shared" si="3"/>
        <v>125991</v>
      </c>
      <c r="L19" s="16">
        <f t="shared" si="3"/>
        <v>6948164</v>
      </c>
      <c r="M19" s="16">
        <f t="shared" si="3"/>
        <v>0</v>
      </c>
      <c r="N19" s="16">
        <f t="shared" si="3"/>
        <v>5214660</v>
      </c>
      <c r="O19" s="31">
        <f>SUM(C19:N19)</f>
        <v>16169448</v>
      </c>
      <c r="P19" s="4"/>
    </row>
    <row r="20" spans="1:16">
      <c r="A20" s="18" t="s">
        <v>28</v>
      </c>
      <c r="B20" s="19">
        <v>17926063</v>
      </c>
      <c r="C20" s="19"/>
      <c r="D20" s="19"/>
      <c r="E20" s="19"/>
      <c r="F20" s="19"/>
      <c r="G20" s="19">
        <v>4423740</v>
      </c>
      <c r="H20" s="19">
        <v>-2249239</v>
      </c>
      <c r="I20" s="19"/>
      <c r="J20" s="19"/>
      <c r="K20" s="19"/>
      <c r="L20" s="19">
        <v>6948164</v>
      </c>
      <c r="M20" s="19"/>
      <c r="N20" s="20">
        <v>5115073</v>
      </c>
      <c r="O20" s="21">
        <f>SUM(C20:N20)</f>
        <v>14237738</v>
      </c>
      <c r="P20" s="4" t="s">
        <v>245</v>
      </c>
    </row>
    <row r="21" spans="1:16">
      <c r="A21" s="18" t="s">
        <v>45</v>
      </c>
      <c r="B21" s="19">
        <v>386342</v>
      </c>
      <c r="C21" s="19"/>
      <c r="D21" s="19"/>
      <c r="E21" s="19"/>
      <c r="F21" s="19"/>
      <c r="G21" s="19">
        <v>45693</v>
      </c>
      <c r="H21" s="19"/>
      <c r="I21" s="19">
        <v>115071</v>
      </c>
      <c r="J21" s="19"/>
      <c r="K21" s="19">
        <v>125991</v>
      </c>
      <c r="L21" s="19"/>
      <c r="M21" s="19"/>
      <c r="N21" s="20">
        <v>99587</v>
      </c>
      <c r="O21" s="21">
        <f t="shared" ref="O21:O24" si="4">SUM(C21:N21)</f>
        <v>386342</v>
      </c>
      <c r="P21" s="4"/>
    </row>
    <row r="22" spans="1:16">
      <c r="A22" s="18" t="s">
        <v>25</v>
      </c>
      <c r="B22" s="19">
        <v>579513</v>
      </c>
      <c r="C22" s="19"/>
      <c r="D22" s="19"/>
      <c r="E22" s="19">
        <v>579513</v>
      </c>
      <c r="F22" s="19"/>
      <c r="G22" s="19"/>
      <c r="H22" s="19"/>
      <c r="I22" s="19"/>
      <c r="J22" s="19"/>
      <c r="K22" s="19"/>
      <c r="L22" s="19"/>
      <c r="M22" s="19"/>
      <c r="N22" s="20"/>
      <c r="O22" s="21">
        <f t="shared" si="4"/>
        <v>579513</v>
      </c>
      <c r="P22" s="4"/>
    </row>
    <row r="23" spans="1:16">
      <c r="A23" s="18" t="s">
        <v>27</v>
      </c>
      <c r="B23" s="19">
        <v>579513</v>
      </c>
      <c r="C23" s="19"/>
      <c r="D23" s="19"/>
      <c r="E23" s="19"/>
      <c r="F23" s="19">
        <v>579513</v>
      </c>
      <c r="G23" s="19"/>
      <c r="H23" s="19"/>
      <c r="I23" s="19"/>
      <c r="J23" s="19"/>
      <c r="K23" s="19"/>
      <c r="L23" s="19"/>
      <c r="M23" s="19"/>
      <c r="N23" s="20"/>
      <c r="O23" s="21">
        <f t="shared" si="4"/>
        <v>579513</v>
      </c>
      <c r="P23" s="4"/>
    </row>
    <row r="24" spans="1:16">
      <c r="A24" s="18" t="s">
        <v>26</v>
      </c>
      <c r="B24" s="19">
        <v>386342</v>
      </c>
      <c r="C24" s="19"/>
      <c r="D24" s="19"/>
      <c r="E24" s="19"/>
      <c r="F24" s="19"/>
      <c r="G24" s="19">
        <v>386342</v>
      </c>
      <c r="H24" s="19"/>
      <c r="I24" s="19"/>
      <c r="J24" s="19"/>
      <c r="K24" s="19"/>
      <c r="L24" s="19"/>
      <c r="M24" s="19"/>
      <c r="N24" s="20"/>
      <c r="O24" s="21">
        <f t="shared" si="4"/>
        <v>386342</v>
      </c>
      <c r="P24" s="4"/>
    </row>
    <row r="25" spans="1:16">
      <c r="A25" s="15" t="s">
        <v>47</v>
      </c>
      <c r="B25" s="16">
        <f>SUM(B26:B27)</f>
        <v>21770043</v>
      </c>
      <c r="C25" s="16">
        <f t="shared" ref="C25:N25" si="5">SUM(C26:C27)</f>
        <v>5000</v>
      </c>
      <c r="D25" s="16">
        <f t="shared" si="5"/>
        <v>5000</v>
      </c>
      <c r="E25" s="16">
        <f t="shared" si="5"/>
        <v>5000</v>
      </c>
      <c r="F25" s="16">
        <f t="shared" si="5"/>
        <v>5000</v>
      </c>
      <c r="G25" s="16">
        <f t="shared" si="5"/>
        <v>3051184</v>
      </c>
      <c r="H25" s="16">
        <f t="shared" si="5"/>
        <v>5000</v>
      </c>
      <c r="I25" s="16">
        <f t="shared" si="5"/>
        <v>7676364</v>
      </c>
      <c r="J25" s="16">
        <f t="shared" si="5"/>
        <v>5000</v>
      </c>
      <c r="K25" s="16">
        <f t="shared" si="5"/>
        <v>8404400</v>
      </c>
      <c r="L25" s="16">
        <f t="shared" si="5"/>
        <v>5000</v>
      </c>
      <c r="M25" s="16">
        <f t="shared" si="5"/>
        <v>5000</v>
      </c>
      <c r="N25" s="16">
        <f t="shared" si="5"/>
        <v>2693259</v>
      </c>
      <c r="O25" s="22">
        <f>SUM(C25:N25)</f>
        <v>21865207</v>
      </c>
      <c r="P25" s="4"/>
    </row>
    <row r="26" spans="1:16">
      <c r="A26" s="23" t="s">
        <v>48</v>
      </c>
      <c r="B26" s="24">
        <v>75722</v>
      </c>
      <c r="C26" s="24">
        <v>5000</v>
      </c>
      <c r="D26" s="24">
        <v>5000</v>
      </c>
      <c r="E26" s="24">
        <v>5000</v>
      </c>
      <c r="F26" s="24">
        <v>5000</v>
      </c>
      <c r="G26" s="24">
        <v>8000</v>
      </c>
      <c r="H26" s="24">
        <v>5000</v>
      </c>
      <c r="I26" s="24">
        <v>5000</v>
      </c>
      <c r="J26" s="24">
        <v>5000</v>
      </c>
      <c r="K26" s="24">
        <v>5000</v>
      </c>
      <c r="L26" s="24">
        <v>5000</v>
      </c>
      <c r="M26" s="24">
        <v>5000</v>
      </c>
      <c r="N26" s="25">
        <v>17722</v>
      </c>
      <c r="O26" s="26">
        <f>SUM(C26:N26)</f>
        <v>75722</v>
      </c>
      <c r="P26" s="4"/>
    </row>
    <row r="27" spans="1:16">
      <c r="A27" s="23" t="s">
        <v>49</v>
      </c>
      <c r="B27" s="24">
        <v>21694321</v>
      </c>
      <c r="C27" s="24"/>
      <c r="D27" s="24"/>
      <c r="E27" s="24"/>
      <c r="F27" s="24"/>
      <c r="G27" s="24">
        <v>3043184</v>
      </c>
      <c r="H27" s="24"/>
      <c r="I27" s="24">
        <v>7671364</v>
      </c>
      <c r="J27" s="24"/>
      <c r="K27" s="24">
        <v>8399400</v>
      </c>
      <c r="L27" s="24"/>
      <c r="M27" s="24"/>
      <c r="N27" s="25">
        <v>2675537</v>
      </c>
      <c r="O27" s="26">
        <f>SUM(C27:N27)</f>
        <v>21789485</v>
      </c>
      <c r="P27" s="4"/>
    </row>
    <row r="28" spans="1:16" ht="15.75" thickBot="1">
      <c r="A28" s="27" t="s">
        <v>22</v>
      </c>
      <c r="B28" s="28">
        <f>SUM(B12-B25)</f>
        <v>-1842234</v>
      </c>
      <c r="C28" s="28">
        <f t="shared" ref="C28:N28" si="6">SUM(C12-C25)</f>
        <v>-750</v>
      </c>
      <c r="D28" s="28">
        <f t="shared" si="6"/>
        <v>-750</v>
      </c>
      <c r="E28" s="28">
        <f t="shared" si="6"/>
        <v>576216</v>
      </c>
      <c r="F28" s="28">
        <f t="shared" si="6"/>
        <v>576216</v>
      </c>
      <c r="G28" s="28">
        <f t="shared" si="6"/>
        <v>1806297</v>
      </c>
      <c r="H28" s="28">
        <f t="shared" si="6"/>
        <v>-2249989</v>
      </c>
      <c r="I28" s="28">
        <f t="shared" si="6"/>
        <v>-7561293</v>
      </c>
      <c r="J28" s="28">
        <f t="shared" si="6"/>
        <v>-4434</v>
      </c>
      <c r="K28" s="28">
        <f t="shared" si="6"/>
        <v>-8256044</v>
      </c>
      <c r="L28" s="28">
        <f t="shared" si="6"/>
        <v>6943164</v>
      </c>
      <c r="M28" s="28">
        <f t="shared" si="6"/>
        <v>-5000</v>
      </c>
      <c r="N28" s="28">
        <f t="shared" si="6"/>
        <v>2525659</v>
      </c>
      <c r="O28" s="30">
        <f>SUM(C28:N28)</f>
        <v>-5650708</v>
      </c>
      <c r="P28" s="4"/>
    </row>
    <row r="29" spans="1:16">
      <c r="A29" s="246" t="s">
        <v>246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4"/>
    </row>
    <row r="30" spans="1:16" ht="15.75" thickBot="1">
      <c r="A30" s="246" t="s">
        <v>247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4"/>
    </row>
    <row r="31" spans="1:16" ht="15.75" thickBot="1">
      <c r="A31" s="223" t="s">
        <v>3</v>
      </c>
      <c r="B31" s="224" t="s">
        <v>4</v>
      </c>
      <c r="C31" s="224" t="s">
        <v>5</v>
      </c>
      <c r="D31" s="224" t="s">
        <v>6</v>
      </c>
      <c r="E31" s="224" t="s">
        <v>7</v>
      </c>
      <c r="F31" s="224" t="s">
        <v>8</v>
      </c>
      <c r="G31" s="224" t="s">
        <v>9</v>
      </c>
      <c r="H31" s="224" t="s">
        <v>10</v>
      </c>
      <c r="I31" s="224" t="s">
        <v>11</v>
      </c>
      <c r="J31" s="224" t="s">
        <v>12</v>
      </c>
      <c r="K31" s="224" t="s">
        <v>13</v>
      </c>
      <c r="L31" s="224" t="s">
        <v>14</v>
      </c>
      <c r="M31" s="224" t="s">
        <v>15</v>
      </c>
      <c r="N31" s="231" t="s">
        <v>16</v>
      </c>
      <c r="O31" s="232" t="s">
        <v>244</v>
      </c>
      <c r="P31" s="4"/>
    </row>
    <row r="32" spans="1:16">
      <c r="A32" s="299" t="s">
        <v>33</v>
      </c>
      <c r="B32" s="300"/>
      <c r="C32" s="300"/>
      <c r="D32" s="300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233"/>
      <c r="P32" s="4"/>
    </row>
    <row r="33" spans="1:16">
      <c r="A33" s="302" t="s">
        <v>17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4"/>
      <c r="P33" s="4"/>
    </row>
    <row r="34" spans="1:16" ht="15.75" thickBot="1">
      <c r="A34" s="293" t="s">
        <v>18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5"/>
      <c r="P34" s="4"/>
    </row>
    <row r="35" spans="1:16">
      <c r="A35" s="226" t="s">
        <v>52</v>
      </c>
      <c r="B35" s="227">
        <f t="shared" ref="B35:N35" si="7">SUM(B36+B38)</f>
        <v>3521469</v>
      </c>
      <c r="C35" s="227">
        <f t="shared" si="7"/>
        <v>7638</v>
      </c>
      <c r="D35" s="227">
        <f t="shared" si="7"/>
        <v>0</v>
      </c>
      <c r="E35" s="227">
        <f t="shared" si="7"/>
        <v>7650</v>
      </c>
      <c r="F35" s="227">
        <f t="shared" si="7"/>
        <v>0</v>
      </c>
      <c r="G35" s="227">
        <f t="shared" si="7"/>
        <v>0</v>
      </c>
      <c r="H35" s="227">
        <f t="shared" si="7"/>
        <v>7650</v>
      </c>
      <c r="I35" s="227">
        <f t="shared" si="7"/>
        <v>0</v>
      </c>
      <c r="J35" s="227">
        <f t="shared" si="7"/>
        <v>5654</v>
      </c>
      <c r="K35" s="227">
        <f t="shared" si="7"/>
        <v>908002</v>
      </c>
      <c r="L35" s="227">
        <f t="shared" si="7"/>
        <v>25000</v>
      </c>
      <c r="M35" s="227">
        <f t="shared" si="7"/>
        <v>5100</v>
      </c>
      <c r="N35" s="227">
        <f t="shared" si="7"/>
        <v>4211113</v>
      </c>
      <c r="O35" s="225">
        <f t="shared" ref="O35:O44" si="8">SUM(C35:N35)</f>
        <v>5177807</v>
      </c>
      <c r="P35" s="4"/>
    </row>
    <row r="36" spans="1:16">
      <c r="A36" s="226" t="s">
        <v>44</v>
      </c>
      <c r="B36" s="227">
        <f t="shared" ref="B36:N36" si="9">SUM(B37:B37)</f>
        <v>30600</v>
      </c>
      <c r="C36" s="227">
        <f t="shared" si="9"/>
        <v>7638</v>
      </c>
      <c r="D36" s="227">
        <f t="shared" si="9"/>
        <v>0</v>
      </c>
      <c r="E36" s="227">
        <f t="shared" si="9"/>
        <v>7650</v>
      </c>
      <c r="F36" s="227">
        <f t="shared" si="9"/>
        <v>0</v>
      </c>
      <c r="G36" s="227">
        <f t="shared" si="9"/>
        <v>0</v>
      </c>
      <c r="H36" s="227">
        <f t="shared" si="9"/>
        <v>7650</v>
      </c>
      <c r="I36" s="227">
        <f t="shared" si="9"/>
        <v>0</v>
      </c>
      <c r="J36" s="227">
        <f t="shared" si="9"/>
        <v>0</v>
      </c>
      <c r="K36" s="227">
        <f t="shared" si="9"/>
        <v>7650</v>
      </c>
      <c r="L36" s="227">
        <f t="shared" si="9"/>
        <v>0</v>
      </c>
      <c r="M36" s="227">
        <f t="shared" si="9"/>
        <v>5100</v>
      </c>
      <c r="N36" s="227">
        <f t="shared" si="9"/>
        <v>0</v>
      </c>
      <c r="O36" s="234">
        <f t="shared" si="8"/>
        <v>35688</v>
      </c>
      <c r="P36" s="4"/>
    </row>
    <row r="37" spans="1:16">
      <c r="A37" s="163" t="s">
        <v>28</v>
      </c>
      <c r="B37" s="164">
        <v>30600</v>
      </c>
      <c r="C37" s="164">
        <v>7638</v>
      </c>
      <c r="D37" s="164"/>
      <c r="E37" s="164">
        <v>7650</v>
      </c>
      <c r="F37" s="164"/>
      <c r="G37" s="164"/>
      <c r="H37" s="164">
        <v>7650</v>
      </c>
      <c r="I37" s="164"/>
      <c r="J37" s="164"/>
      <c r="K37" s="164">
        <v>7650</v>
      </c>
      <c r="L37" s="164"/>
      <c r="M37" s="164">
        <v>5100</v>
      </c>
      <c r="N37" s="165"/>
      <c r="O37" s="166">
        <f t="shared" si="8"/>
        <v>35688</v>
      </c>
      <c r="P37" s="4" t="s">
        <v>243</v>
      </c>
    </row>
    <row r="38" spans="1:16">
      <c r="A38" s="226" t="s">
        <v>46</v>
      </c>
      <c r="B38" s="227">
        <f>SUM(B39:B40)</f>
        <v>3490869</v>
      </c>
      <c r="C38" s="227">
        <f t="shared" ref="C38:N38" si="10">SUM(C39:C40)</f>
        <v>0</v>
      </c>
      <c r="D38" s="227">
        <f t="shared" si="10"/>
        <v>0</v>
      </c>
      <c r="E38" s="227">
        <f t="shared" si="10"/>
        <v>0</v>
      </c>
      <c r="F38" s="227">
        <f t="shared" si="10"/>
        <v>0</v>
      </c>
      <c r="G38" s="227">
        <f t="shared" si="10"/>
        <v>0</v>
      </c>
      <c r="H38" s="227">
        <f t="shared" si="10"/>
        <v>0</v>
      </c>
      <c r="I38" s="227">
        <f t="shared" si="10"/>
        <v>0</v>
      </c>
      <c r="J38" s="227">
        <f t="shared" si="10"/>
        <v>5654</v>
      </c>
      <c r="K38" s="227">
        <f t="shared" si="10"/>
        <v>900352</v>
      </c>
      <c r="L38" s="227">
        <f t="shared" si="10"/>
        <v>25000</v>
      </c>
      <c r="M38" s="227">
        <f t="shared" si="10"/>
        <v>0</v>
      </c>
      <c r="N38" s="227">
        <f t="shared" si="10"/>
        <v>4211113</v>
      </c>
      <c r="O38" s="234">
        <f>SUM(O39:O40)</f>
        <v>5142119</v>
      </c>
      <c r="P38" s="4"/>
    </row>
    <row r="39" spans="1:16">
      <c r="A39" s="163" t="s">
        <v>28</v>
      </c>
      <c r="B39" s="164">
        <v>3465869</v>
      </c>
      <c r="C39" s="164"/>
      <c r="D39" s="164"/>
      <c r="E39" s="164"/>
      <c r="F39" s="164"/>
      <c r="G39" s="164"/>
      <c r="H39" s="164"/>
      <c r="I39" s="164"/>
      <c r="J39" s="164">
        <v>5654</v>
      </c>
      <c r="K39" s="164">
        <v>900352</v>
      </c>
      <c r="L39" s="164"/>
      <c r="M39" s="164"/>
      <c r="N39" s="165">
        <v>4211113</v>
      </c>
      <c r="O39" s="166">
        <f>SUM(C39:N39)</f>
        <v>5117119</v>
      </c>
      <c r="P39" s="4" t="s">
        <v>245</v>
      </c>
    </row>
    <row r="40" spans="1:16" s="4" customFormat="1">
      <c r="A40" s="163" t="s">
        <v>254</v>
      </c>
      <c r="B40" s="164">
        <v>25000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>
        <v>25000</v>
      </c>
      <c r="M40" s="164"/>
      <c r="N40" s="165"/>
      <c r="O40" s="166">
        <f>SUM(C40:N40)</f>
        <v>25000</v>
      </c>
    </row>
    <row r="41" spans="1:16">
      <c r="A41" s="226" t="s">
        <v>53</v>
      </c>
      <c r="B41" s="227">
        <f>SUM(B42:B43)</f>
        <v>7068481</v>
      </c>
      <c r="C41" s="227">
        <f t="shared" ref="C41:M41" si="11">SUM(C42:C43)</f>
        <v>5991</v>
      </c>
      <c r="D41" s="227">
        <f t="shared" si="11"/>
        <v>9530</v>
      </c>
      <c r="E41" s="227">
        <f t="shared" si="11"/>
        <v>2889</v>
      </c>
      <c r="F41" s="227">
        <f t="shared" si="11"/>
        <v>11082</v>
      </c>
      <c r="G41" s="227">
        <f t="shared" si="11"/>
        <v>3000</v>
      </c>
      <c r="H41" s="227">
        <f t="shared" si="11"/>
        <v>3000</v>
      </c>
      <c r="I41" s="227">
        <f t="shared" si="11"/>
        <v>3000</v>
      </c>
      <c r="J41" s="227">
        <f t="shared" si="11"/>
        <v>70438</v>
      </c>
      <c r="K41" s="227">
        <f t="shared" si="11"/>
        <v>3000</v>
      </c>
      <c r="L41" s="227">
        <f t="shared" si="11"/>
        <v>1888000</v>
      </c>
      <c r="M41" s="227">
        <f t="shared" si="11"/>
        <v>224132</v>
      </c>
      <c r="N41" s="227">
        <f>SUM(N42:N43)</f>
        <v>4844419</v>
      </c>
      <c r="O41" s="228">
        <f t="shared" si="8"/>
        <v>7068481</v>
      </c>
      <c r="P41" s="4"/>
    </row>
    <row r="42" spans="1:16">
      <c r="A42" s="219" t="s">
        <v>48</v>
      </c>
      <c r="B42" s="220">
        <v>38991</v>
      </c>
      <c r="C42" s="220">
        <v>5991</v>
      </c>
      <c r="D42" s="220">
        <v>2888</v>
      </c>
      <c r="E42" s="220">
        <v>2889</v>
      </c>
      <c r="F42" s="220">
        <v>2900</v>
      </c>
      <c r="G42" s="220">
        <v>3000</v>
      </c>
      <c r="H42" s="220">
        <v>3000</v>
      </c>
      <c r="I42" s="220">
        <v>3000</v>
      </c>
      <c r="J42" s="220">
        <v>3000</v>
      </c>
      <c r="K42" s="220">
        <v>3000</v>
      </c>
      <c r="L42" s="220">
        <v>3000</v>
      </c>
      <c r="M42" s="220">
        <v>3000</v>
      </c>
      <c r="N42" s="221">
        <v>3323</v>
      </c>
      <c r="O42" s="222">
        <f t="shared" si="8"/>
        <v>38991</v>
      </c>
      <c r="P42" s="4"/>
    </row>
    <row r="43" spans="1:16">
      <c r="A43" s="219" t="s">
        <v>49</v>
      </c>
      <c r="B43" s="220">
        <v>7029490</v>
      </c>
      <c r="C43" s="220"/>
      <c r="D43" s="220">
        <v>6642</v>
      </c>
      <c r="E43" s="220"/>
      <c r="F43" s="220">
        <v>8182</v>
      </c>
      <c r="G43" s="220"/>
      <c r="H43" s="220"/>
      <c r="I43" s="220"/>
      <c r="J43" s="220">
        <v>67438</v>
      </c>
      <c r="K43" s="220"/>
      <c r="L43" s="220">
        <v>1885000</v>
      </c>
      <c r="M43" s="220">
        <v>221132</v>
      </c>
      <c r="N43" s="221">
        <v>4841096</v>
      </c>
      <c r="O43" s="222">
        <f t="shared" si="8"/>
        <v>7029490</v>
      </c>
      <c r="P43" s="4"/>
    </row>
    <row r="44" spans="1:16" ht="15.75" thickBot="1">
      <c r="A44" s="235" t="s">
        <v>22</v>
      </c>
      <c r="B44" s="229">
        <f t="shared" ref="B44:N44" si="12">SUM(B35-B41)</f>
        <v>-3547012</v>
      </c>
      <c r="C44" s="229">
        <f t="shared" si="12"/>
        <v>1647</v>
      </c>
      <c r="D44" s="229">
        <f t="shared" si="12"/>
        <v>-9530</v>
      </c>
      <c r="E44" s="229">
        <f t="shared" si="12"/>
        <v>4761</v>
      </c>
      <c r="F44" s="229">
        <f t="shared" si="12"/>
        <v>-11082</v>
      </c>
      <c r="G44" s="229">
        <f t="shared" si="12"/>
        <v>-3000</v>
      </c>
      <c r="H44" s="229">
        <f t="shared" si="12"/>
        <v>4650</v>
      </c>
      <c r="I44" s="229">
        <f t="shared" si="12"/>
        <v>-3000</v>
      </c>
      <c r="J44" s="229">
        <f t="shared" si="12"/>
        <v>-64784</v>
      </c>
      <c r="K44" s="229">
        <f t="shared" si="12"/>
        <v>905002</v>
      </c>
      <c r="L44" s="229">
        <f t="shared" si="12"/>
        <v>-1863000</v>
      </c>
      <c r="M44" s="229">
        <f t="shared" si="12"/>
        <v>-219032</v>
      </c>
      <c r="N44" s="229">
        <f t="shared" si="12"/>
        <v>-633306</v>
      </c>
      <c r="O44" s="230">
        <f t="shared" si="8"/>
        <v>-1890674</v>
      </c>
      <c r="P44" s="100"/>
    </row>
    <row r="45" spans="1:16">
      <c r="A45" s="248" t="s">
        <v>248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50"/>
    </row>
    <row r="46" spans="1:16" ht="15.75" thickBot="1">
      <c r="A46" s="251" t="s">
        <v>255</v>
      </c>
    </row>
    <row r="47" spans="1:16" ht="15.75" thickBot="1">
      <c r="A47" s="7" t="s">
        <v>3</v>
      </c>
      <c r="B47" s="8" t="s">
        <v>4</v>
      </c>
      <c r="C47" s="8" t="s">
        <v>5</v>
      </c>
      <c r="D47" s="8" t="s">
        <v>6</v>
      </c>
      <c r="E47" s="8" t="s">
        <v>7</v>
      </c>
      <c r="F47" s="8" t="s">
        <v>8</v>
      </c>
      <c r="G47" s="8" t="s">
        <v>9</v>
      </c>
      <c r="H47" s="8" t="s">
        <v>10</v>
      </c>
      <c r="I47" s="8" t="s">
        <v>11</v>
      </c>
      <c r="J47" s="8" t="s">
        <v>12</v>
      </c>
      <c r="K47" s="8" t="s">
        <v>13</v>
      </c>
      <c r="L47" s="8" t="s">
        <v>14</v>
      </c>
      <c r="M47" s="8" t="s">
        <v>15</v>
      </c>
      <c r="N47" s="12" t="s">
        <v>16</v>
      </c>
      <c r="O47" s="13" t="s">
        <v>244</v>
      </c>
      <c r="P47" s="4"/>
    </row>
    <row r="48" spans="1:16">
      <c r="A48" s="290" t="s">
        <v>33</v>
      </c>
      <c r="B48" s="291"/>
      <c r="C48" s="291"/>
      <c r="D48" s="291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14"/>
      <c r="P48" s="4"/>
    </row>
    <row r="49" spans="1:16" ht="30" customHeight="1">
      <c r="A49" s="296" t="s">
        <v>235</v>
      </c>
      <c r="B49" s="297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8"/>
      <c r="P49" s="4"/>
    </row>
    <row r="50" spans="1:16" ht="15.75" thickBot="1">
      <c r="A50" s="287" t="s">
        <v>18</v>
      </c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9"/>
      <c r="P50" s="4"/>
    </row>
    <row r="51" spans="1:16">
      <c r="A51" s="15" t="s">
        <v>52</v>
      </c>
      <c r="B51" s="16">
        <f t="shared" ref="B51:N51" si="13">SUM(B52+B54)</f>
        <v>4202629</v>
      </c>
      <c r="C51" s="16">
        <f t="shared" si="13"/>
        <v>9541</v>
      </c>
      <c r="D51" s="16">
        <f t="shared" si="13"/>
        <v>3206</v>
      </c>
      <c r="E51" s="16">
        <f t="shared" si="13"/>
        <v>0</v>
      </c>
      <c r="F51" s="16">
        <f t="shared" si="13"/>
        <v>0</v>
      </c>
      <c r="G51" s="16">
        <f t="shared" si="13"/>
        <v>848964</v>
      </c>
      <c r="H51" s="16">
        <f t="shared" si="13"/>
        <v>0</v>
      </c>
      <c r="I51" s="16">
        <f t="shared" si="13"/>
        <v>0</v>
      </c>
      <c r="J51" s="16">
        <f t="shared" si="13"/>
        <v>15582</v>
      </c>
      <c r="K51" s="16">
        <f t="shared" si="13"/>
        <v>1343244</v>
      </c>
      <c r="L51" s="16">
        <f t="shared" si="13"/>
        <v>9621</v>
      </c>
      <c r="M51" s="16">
        <f t="shared" si="13"/>
        <v>1117382</v>
      </c>
      <c r="N51" s="16">
        <f t="shared" si="13"/>
        <v>16424</v>
      </c>
      <c r="O51" s="17">
        <f t="shared" ref="O51:O59" si="14">SUM(C51:N51)</f>
        <v>3363964</v>
      </c>
      <c r="P51" s="4"/>
    </row>
    <row r="52" spans="1:16">
      <c r="A52" s="15" t="s">
        <v>44</v>
      </c>
      <c r="B52" s="16">
        <f t="shared" ref="B52:N52" si="15">SUM(B53:B53)</f>
        <v>54374</v>
      </c>
      <c r="C52" s="16">
        <f t="shared" si="15"/>
        <v>9541</v>
      </c>
      <c r="D52" s="16">
        <f t="shared" si="15"/>
        <v>3206</v>
      </c>
      <c r="E52" s="16">
        <f t="shared" si="15"/>
        <v>0</v>
      </c>
      <c r="F52" s="16">
        <f t="shared" si="15"/>
        <v>0</v>
      </c>
      <c r="G52" s="16">
        <f t="shared" si="15"/>
        <v>0</v>
      </c>
      <c r="H52" s="16">
        <f t="shared" si="15"/>
        <v>0</v>
      </c>
      <c r="I52" s="16">
        <f t="shared" si="15"/>
        <v>0</v>
      </c>
      <c r="J52" s="16">
        <f t="shared" si="15"/>
        <v>15582</v>
      </c>
      <c r="K52" s="16">
        <f t="shared" si="15"/>
        <v>0</v>
      </c>
      <c r="L52" s="16">
        <f t="shared" si="15"/>
        <v>9621</v>
      </c>
      <c r="M52" s="16">
        <f t="shared" si="15"/>
        <v>0</v>
      </c>
      <c r="N52" s="16">
        <f t="shared" si="15"/>
        <v>16424</v>
      </c>
      <c r="O52" s="31">
        <f t="shared" si="14"/>
        <v>54374</v>
      </c>
      <c r="P52" s="4"/>
    </row>
    <row r="53" spans="1:16">
      <c r="A53" s="18" t="s">
        <v>28</v>
      </c>
      <c r="B53" s="19">
        <v>54374</v>
      </c>
      <c r="C53" s="19">
        <v>9541</v>
      </c>
      <c r="D53" s="19">
        <v>3206</v>
      </c>
      <c r="E53" s="19"/>
      <c r="F53" s="19"/>
      <c r="G53" s="19"/>
      <c r="H53" s="19"/>
      <c r="I53" s="19"/>
      <c r="J53" s="19">
        <v>15582</v>
      </c>
      <c r="K53" s="19"/>
      <c r="L53" s="19">
        <v>9621</v>
      </c>
      <c r="M53" s="19"/>
      <c r="N53" s="20">
        <v>16424</v>
      </c>
      <c r="O53" s="21">
        <f t="shared" si="14"/>
        <v>54374</v>
      </c>
      <c r="P53" s="4" t="s">
        <v>243</v>
      </c>
    </row>
    <row r="54" spans="1:16">
      <c r="A54" s="15" t="s">
        <v>46</v>
      </c>
      <c r="B54" s="16">
        <f t="shared" ref="B54:N54" si="16">SUM(B55:B55)</f>
        <v>4148255</v>
      </c>
      <c r="C54" s="16">
        <f t="shared" si="16"/>
        <v>0</v>
      </c>
      <c r="D54" s="16">
        <f t="shared" si="16"/>
        <v>0</v>
      </c>
      <c r="E54" s="16">
        <f t="shared" si="16"/>
        <v>0</v>
      </c>
      <c r="F54" s="16">
        <f t="shared" si="16"/>
        <v>0</v>
      </c>
      <c r="G54" s="16">
        <f t="shared" si="16"/>
        <v>848964</v>
      </c>
      <c r="H54" s="16">
        <f t="shared" si="16"/>
        <v>0</v>
      </c>
      <c r="I54" s="16">
        <f t="shared" si="16"/>
        <v>0</v>
      </c>
      <c r="J54" s="16">
        <f t="shared" si="16"/>
        <v>0</v>
      </c>
      <c r="K54" s="16">
        <f t="shared" si="16"/>
        <v>1343244</v>
      </c>
      <c r="L54" s="16">
        <f t="shared" si="16"/>
        <v>0</v>
      </c>
      <c r="M54" s="16">
        <f t="shared" si="16"/>
        <v>1117382</v>
      </c>
      <c r="N54" s="16">
        <f t="shared" si="16"/>
        <v>0</v>
      </c>
      <c r="O54" s="31">
        <f t="shared" si="14"/>
        <v>3309590</v>
      </c>
      <c r="P54" s="4"/>
    </row>
    <row r="55" spans="1:16">
      <c r="A55" s="18" t="s">
        <v>28</v>
      </c>
      <c r="B55" s="19">
        <v>4148255</v>
      </c>
      <c r="C55" s="19"/>
      <c r="D55" s="19"/>
      <c r="E55" s="19"/>
      <c r="F55" s="19"/>
      <c r="G55" s="19">
        <v>848964</v>
      </c>
      <c r="H55" s="19"/>
      <c r="I55" s="19"/>
      <c r="J55" s="19"/>
      <c r="K55" s="19">
        <v>1343244</v>
      </c>
      <c r="L55" s="19"/>
      <c r="M55" s="19">
        <v>1117382</v>
      </c>
      <c r="N55" s="20"/>
      <c r="O55" s="21">
        <f t="shared" si="14"/>
        <v>3309590</v>
      </c>
      <c r="P55" s="4" t="s">
        <v>245</v>
      </c>
    </row>
    <row r="56" spans="1:16">
      <c r="A56" s="15" t="s">
        <v>53</v>
      </c>
      <c r="B56" s="16">
        <f>SUM(B57:B58)</f>
        <v>6400725</v>
      </c>
      <c r="C56" s="16">
        <f t="shared" ref="C56:M56" si="17">SUM(C57:C58)</f>
        <v>6536</v>
      </c>
      <c r="D56" s="16">
        <f t="shared" si="17"/>
        <v>6536</v>
      </c>
      <c r="E56" s="16">
        <f t="shared" si="17"/>
        <v>6536</v>
      </c>
      <c r="F56" s="16">
        <f t="shared" si="17"/>
        <v>1235036</v>
      </c>
      <c r="G56" s="16">
        <f t="shared" si="17"/>
        <v>5084</v>
      </c>
      <c r="H56" s="16">
        <f t="shared" si="17"/>
        <v>5084</v>
      </c>
      <c r="I56" s="16">
        <f t="shared" si="17"/>
        <v>1949198</v>
      </c>
      <c r="J56" s="16">
        <f t="shared" si="17"/>
        <v>5446</v>
      </c>
      <c r="K56" s="16">
        <f t="shared" si="17"/>
        <v>5446</v>
      </c>
      <c r="L56" s="16">
        <f t="shared" si="17"/>
        <v>3773</v>
      </c>
      <c r="M56" s="16">
        <f t="shared" si="17"/>
        <v>2796678</v>
      </c>
      <c r="N56" s="16">
        <f>SUM(N57:N58)</f>
        <v>375372</v>
      </c>
      <c r="O56" s="22">
        <f t="shared" si="14"/>
        <v>6400725</v>
      </c>
      <c r="P56" s="4"/>
    </row>
    <row r="57" spans="1:16">
      <c r="A57" s="23" t="s">
        <v>48</v>
      </c>
      <c r="B57" s="24">
        <v>63969</v>
      </c>
      <c r="C57" s="24">
        <v>6536</v>
      </c>
      <c r="D57" s="24">
        <v>6536</v>
      </c>
      <c r="E57" s="24">
        <v>6536</v>
      </c>
      <c r="F57" s="24">
        <v>6536</v>
      </c>
      <c r="G57" s="24">
        <v>5084</v>
      </c>
      <c r="H57" s="24">
        <v>5084</v>
      </c>
      <c r="I57" s="24">
        <v>5446</v>
      </c>
      <c r="J57" s="24">
        <v>5446</v>
      </c>
      <c r="K57" s="24">
        <v>5446</v>
      </c>
      <c r="L57" s="24">
        <v>3773</v>
      </c>
      <c r="M57" s="24">
        <v>3773</v>
      </c>
      <c r="N57" s="25">
        <v>3773</v>
      </c>
      <c r="O57" s="26">
        <f t="shared" si="14"/>
        <v>63969</v>
      </c>
      <c r="P57" s="4"/>
    </row>
    <row r="58" spans="1:16">
      <c r="A58" s="23" t="s">
        <v>49</v>
      </c>
      <c r="B58" s="24">
        <v>6336756</v>
      </c>
      <c r="C58" s="24"/>
      <c r="D58" s="24"/>
      <c r="E58" s="24"/>
      <c r="F58" s="24">
        <v>1228500</v>
      </c>
      <c r="G58" s="24"/>
      <c r="H58" s="24"/>
      <c r="I58" s="24">
        <v>1943752</v>
      </c>
      <c r="J58" s="24"/>
      <c r="K58" s="24"/>
      <c r="L58" s="24"/>
      <c r="M58" s="24">
        <v>2792905</v>
      </c>
      <c r="N58" s="25">
        <v>371599</v>
      </c>
      <c r="O58" s="26">
        <f t="shared" si="14"/>
        <v>6336756</v>
      </c>
      <c r="P58" s="4"/>
    </row>
    <row r="59" spans="1:16" ht="15.75" thickBot="1">
      <c r="A59" s="27" t="s">
        <v>22</v>
      </c>
      <c r="B59" s="28">
        <f t="shared" ref="B59:N59" si="18">SUM(B51-B56)</f>
        <v>-2198096</v>
      </c>
      <c r="C59" s="28">
        <f t="shared" si="18"/>
        <v>3005</v>
      </c>
      <c r="D59" s="28">
        <f t="shared" si="18"/>
        <v>-3330</v>
      </c>
      <c r="E59" s="28">
        <f t="shared" si="18"/>
        <v>-6536</v>
      </c>
      <c r="F59" s="28">
        <f t="shared" si="18"/>
        <v>-1235036</v>
      </c>
      <c r="G59" s="28">
        <f t="shared" si="18"/>
        <v>843880</v>
      </c>
      <c r="H59" s="28">
        <f t="shared" si="18"/>
        <v>-5084</v>
      </c>
      <c r="I59" s="28">
        <f t="shared" si="18"/>
        <v>-1949198</v>
      </c>
      <c r="J59" s="28">
        <f t="shared" si="18"/>
        <v>10136</v>
      </c>
      <c r="K59" s="28">
        <f t="shared" si="18"/>
        <v>1337798</v>
      </c>
      <c r="L59" s="28">
        <f t="shared" si="18"/>
        <v>5848</v>
      </c>
      <c r="M59" s="28">
        <f t="shared" si="18"/>
        <v>-1679296</v>
      </c>
      <c r="N59" s="28">
        <f t="shared" si="18"/>
        <v>-358948</v>
      </c>
      <c r="O59" s="30">
        <f t="shared" si="14"/>
        <v>-3036761</v>
      </c>
      <c r="P59" s="4"/>
    </row>
    <row r="60" spans="1:16">
      <c r="A60" s="251" t="s">
        <v>250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.75" thickBot="1">
      <c r="A61" s="251" t="s">
        <v>251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4"/>
    </row>
    <row r="62" spans="1:16" ht="15.75" thickBot="1">
      <c r="A62" s="7" t="s">
        <v>3</v>
      </c>
      <c r="B62" s="8" t="s">
        <v>4</v>
      </c>
      <c r="C62" s="8" t="s">
        <v>5</v>
      </c>
      <c r="D62" s="8" t="s">
        <v>6</v>
      </c>
      <c r="E62" s="8" t="s">
        <v>7</v>
      </c>
      <c r="F62" s="8" t="s">
        <v>8</v>
      </c>
      <c r="G62" s="8" t="s">
        <v>9</v>
      </c>
      <c r="H62" s="8" t="s">
        <v>10</v>
      </c>
      <c r="I62" s="8" t="s">
        <v>11</v>
      </c>
      <c r="J62" s="8" t="s">
        <v>12</v>
      </c>
      <c r="K62" s="8" t="s">
        <v>13</v>
      </c>
      <c r="L62" s="8" t="s">
        <v>14</v>
      </c>
      <c r="M62" s="8" t="s">
        <v>15</v>
      </c>
      <c r="N62" s="12" t="s">
        <v>16</v>
      </c>
      <c r="O62" s="13" t="s">
        <v>244</v>
      </c>
      <c r="P62" s="4"/>
    </row>
    <row r="63" spans="1:16">
      <c r="A63" s="290" t="s">
        <v>33</v>
      </c>
      <c r="B63" s="291"/>
      <c r="C63" s="291"/>
      <c r="D63" s="291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14"/>
      <c r="P63" s="4"/>
    </row>
    <row r="64" spans="1:16">
      <c r="A64" s="284" t="s">
        <v>30</v>
      </c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6"/>
      <c r="P64" s="4"/>
    </row>
    <row r="65" spans="1:16" ht="15.75" thickBot="1">
      <c r="A65" s="287" t="s">
        <v>18</v>
      </c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9"/>
      <c r="P65" s="4"/>
    </row>
    <row r="66" spans="1:16">
      <c r="A66" s="15" t="s">
        <v>52</v>
      </c>
      <c r="B66" s="16">
        <f t="shared" ref="B66:N66" si="19">SUM(B67+B69)</f>
        <v>471676</v>
      </c>
      <c r="C66" s="16">
        <f t="shared" si="19"/>
        <v>0</v>
      </c>
      <c r="D66" s="16">
        <f t="shared" si="19"/>
        <v>62460</v>
      </c>
      <c r="E66" s="16">
        <f t="shared" si="19"/>
        <v>0</v>
      </c>
      <c r="F66" s="16">
        <f t="shared" si="19"/>
        <v>0</v>
      </c>
      <c r="G66" s="16">
        <f t="shared" si="19"/>
        <v>0</v>
      </c>
      <c r="H66" s="16">
        <f t="shared" si="19"/>
        <v>0</v>
      </c>
      <c r="I66" s="16">
        <f t="shared" si="19"/>
        <v>0</v>
      </c>
      <c r="J66" s="16">
        <f t="shared" si="19"/>
        <v>0</v>
      </c>
      <c r="K66" s="16">
        <f t="shared" si="19"/>
        <v>30265</v>
      </c>
      <c r="L66" s="16">
        <f t="shared" si="19"/>
        <v>0</v>
      </c>
      <c r="M66" s="16">
        <f t="shared" si="19"/>
        <v>0</v>
      </c>
      <c r="N66" s="16">
        <f t="shared" si="19"/>
        <v>103408</v>
      </c>
      <c r="O66" s="17">
        <f t="shared" ref="O66:O74" si="20">SUM(C66:N66)</f>
        <v>196133</v>
      </c>
      <c r="P66" s="4"/>
    </row>
    <row r="67" spans="1:16">
      <c r="A67" s="15" t="s">
        <v>44</v>
      </c>
      <c r="B67" s="16">
        <f t="shared" ref="B67:N67" si="21">SUM(B68:B68)</f>
        <v>320657</v>
      </c>
      <c r="C67" s="16">
        <f t="shared" si="21"/>
        <v>0</v>
      </c>
      <c r="D67" s="16">
        <f t="shared" si="21"/>
        <v>56952</v>
      </c>
      <c r="E67" s="16">
        <f t="shared" si="21"/>
        <v>0</v>
      </c>
      <c r="F67" s="16">
        <f t="shared" si="21"/>
        <v>0</v>
      </c>
      <c r="G67" s="16">
        <f t="shared" si="21"/>
        <v>0</v>
      </c>
      <c r="H67" s="16">
        <f t="shared" si="21"/>
        <v>0</v>
      </c>
      <c r="I67" s="16">
        <f t="shared" si="21"/>
        <v>0</v>
      </c>
      <c r="J67" s="16">
        <f t="shared" si="21"/>
        <v>0</v>
      </c>
      <c r="K67" s="16">
        <f t="shared" si="21"/>
        <v>30265</v>
      </c>
      <c r="L67" s="16">
        <f t="shared" si="21"/>
        <v>0</v>
      </c>
      <c r="M67" s="16">
        <f t="shared" si="21"/>
        <v>0</v>
      </c>
      <c r="N67" s="16">
        <f t="shared" si="21"/>
        <v>103408</v>
      </c>
      <c r="O67" s="31">
        <f t="shared" si="20"/>
        <v>190625</v>
      </c>
      <c r="P67" s="4" t="s">
        <v>243</v>
      </c>
    </row>
    <row r="68" spans="1:16">
      <c r="A68" s="18" t="s">
        <v>28</v>
      </c>
      <c r="B68" s="19">
        <v>320657</v>
      </c>
      <c r="C68" s="19"/>
      <c r="D68" s="19">
        <v>56952</v>
      </c>
      <c r="E68" s="19"/>
      <c r="F68" s="19"/>
      <c r="G68" s="19"/>
      <c r="H68" s="19"/>
      <c r="I68" s="19"/>
      <c r="J68" s="19"/>
      <c r="K68" s="19">
        <v>30265</v>
      </c>
      <c r="L68" s="19"/>
      <c r="M68" s="19"/>
      <c r="N68" s="20">
        <v>103408</v>
      </c>
      <c r="O68" s="21">
        <f t="shared" si="20"/>
        <v>190625</v>
      </c>
      <c r="P68" s="4"/>
    </row>
    <row r="69" spans="1:16">
      <c r="A69" s="15" t="s">
        <v>46</v>
      </c>
      <c r="B69" s="16">
        <f t="shared" ref="B69:N69" si="22">SUM(B70:B70)</f>
        <v>151019</v>
      </c>
      <c r="C69" s="16">
        <f t="shared" si="22"/>
        <v>0</v>
      </c>
      <c r="D69" s="16">
        <f t="shared" si="22"/>
        <v>5508</v>
      </c>
      <c r="E69" s="16">
        <f t="shared" si="22"/>
        <v>0</v>
      </c>
      <c r="F69" s="16">
        <f t="shared" si="22"/>
        <v>0</v>
      </c>
      <c r="G69" s="16">
        <f t="shared" si="22"/>
        <v>0</v>
      </c>
      <c r="H69" s="16">
        <f t="shared" si="22"/>
        <v>0</v>
      </c>
      <c r="I69" s="16">
        <f t="shared" si="22"/>
        <v>0</v>
      </c>
      <c r="J69" s="16">
        <f t="shared" si="22"/>
        <v>0</v>
      </c>
      <c r="K69" s="16">
        <f t="shared" si="22"/>
        <v>0</v>
      </c>
      <c r="L69" s="16">
        <f t="shared" si="22"/>
        <v>0</v>
      </c>
      <c r="M69" s="16">
        <f t="shared" si="22"/>
        <v>0</v>
      </c>
      <c r="N69" s="16">
        <f t="shared" si="22"/>
        <v>0</v>
      </c>
      <c r="O69" s="31">
        <f t="shared" si="20"/>
        <v>5508</v>
      </c>
      <c r="P69" s="4" t="s">
        <v>245</v>
      </c>
    </row>
    <row r="70" spans="1:16">
      <c r="A70" s="18" t="s">
        <v>28</v>
      </c>
      <c r="B70" s="19">
        <v>151019</v>
      </c>
      <c r="C70" s="19"/>
      <c r="D70" s="19">
        <v>5508</v>
      </c>
      <c r="E70" s="19"/>
      <c r="F70" s="19"/>
      <c r="G70" s="19"/>
      <c r="H70" s="19"/>
      <c r="I70" s="19"/>
      <c r="J70" s="19"/>
      <c r="K70" s="19"/>
      <c r="L70" s="19"/>
      <c r="M70" s="19"/>
      <c r="N70" s="20"/>
      <c r="O70" s="21">
        <f t="shared" si="20"/>
        <v>5508</v>
      </c>
      <c r="P70" s="4"/>
    </row>
    <row r="71" spans="1:16">
      <c r="A71" s="15" t="s">
        <v>53</v>
      </c>
      <c r="B71" s="16">
        <f>SUM(B72:B73)</f>
        <v>664011</v>
      </c>
      <c r="C71" s="16">
        <f t="shared" ref="C71:M71" si="23">SUM(C72:C73)</f>
        <v>1375</v>
      </c>
      <c r="D71" s="16">
        <f t="shared" si="23"/>
        <v>74647</v>
      </c>
      <c r="E71" s="16">
        <f t="shared" si="23"/>
        <v>1375</v>
      </c>
      <c r="F71" s="16">
        <f t="shared" si="23"/>
        <v>1375</v>
      </c>
      <c r="G71" s="16">
        <f t="shared" si="23"/>
        <v>1375</v>
      </c>
      <c r="H71" s="16">
        <f t="shared" si="23"/>
        <v>3523</v>
      </c>
      <c r="I71" s="16">
        <f t="shared" si="23"/>
        <v>10126</v>
      </c>
      <c r="J71" s="16">
        <f t="shared" si="23"/>
        <v>388727</v>
      </c>
      <c r="K71" s="16">
        <f t="shared" si="23"/>
        <v>1375</v>
      </c>
      <c r="L71" s="16">
        <f t="shared" si="23"/>
        <v>13921</v>
      </c>
      <c r="M71" s="16">
        <f t="shared" si="23"/>
        <v>3564</v>
      </c>
      <c r="N71" s="16">
        <f>SUM(N72:N73)</f>
        <v>159172</v>
      </c>
      <c r="O71" s="22">
        <f t="shared" si="20"/>
        <v>660555</v>
      </c>
      <c r="P71" s="4"/>
    </row>
    <row r="72" spans="1:16">
      <c r="A72" s="23" t="s">
        <v>48</v>
      </c>
      <c r="B72" s="24">
        <v>464011</v>
      </c>
      <c r="C72" s="24">
        <v>1375</v>
      </c>
      <c r="D72" s="24">
        <v>74647</v>
      </c>
      <c r="E72" s="24">
        <v>1375</v>
      </c>
      <c r="F72" s="24">
        <v>1375</v>
      </c>
      <c r="G72" s="24">
        <v>1375</v>
      </c>
      <c r="H72" s="24">
        <v>3523</v>
      </c>
      <c r="I72" s="24">
        <v>10126</v>
      </c>
      <c r="J72" s="24">
        <v>192183</v>
      </c>
      <c r="K72" s="24">
        <v>1375</v>
      </c>
      <c r="L72" s="24">
        <v>13921</v>
      </c>
      <c r="M72" s="24">
        <v>3564</v>
      </c>
      <c r="N72" s="25">
        <v>159172</v>
      </c>
      <c r="O72" s="26">
        <f t="shared" si="20"/>
        <v>464011</v>
      </c>
      <c r="P72" s="4"/>
    </row>
    <row r="73" spans="1:16">
      <c r="A73" s="23" t="s">
        <v>49</v>
      </c>
      <c r="B73" s="24">
        <v>200000</v>
      </c>
      <c r="C73" s="24"/>
      <c r="D73" s="24"/>
      <c r="E73" s="24"/>
      <c r="F73" s="24"/>
      <c r="G73" s="24"/>
      <c r="H73" s="24"/>
      <c r="I73" s="24"/>
      <c r="J73" s="24">
        <v>196544</v>
      </c>
      <c r="K73" s="24"/>
      <c r="L73" s="24"/>
      <c r="M73" s="24"/>
      <c r="N73" s="25"/>
      <c r="O73" s="26">
        <f t="shared" si="20"/>
        <v>196544</v>
      </c>
      <c r="P73" s="4"/>
    </row>
    <row r="74" spans="1:16" ht="15.75" thickBot="1">
      <c r="A74" s="27" t="s">
        <v>22</v>
      </c>
      <c r="B74" s="28">
        <f t="shared" ref="B74:N74" si="24">SUM(B66-B71)</f>
        <v>-192335</v>
      </c>
      <c r="C74" s="28">
        <f t="shared" si="24"/>
        <v>-1375</v>
      </c>
      <c r="D74" s="28">
        <f t="shared" si="24"/>
        <v>-12187</v>
      </c>
      <c r="E74" s="28">
        <f t="shared" si="24"/>
        <v>-1375</v>
      </c>
      <c r="F74" s="28">
        <f t="shared" si="24"/>
        <v>-1375</v>
      </c>
      <c r="G74" s="28">
        <f t="shared" si="24"/>
        <v>-1375</v>
      </c>
      <c r="H74" s="28">
        <f t="shared" si="24"/>
        <v>-3523</v>
      </c>
      <c r="I74" s="28">
        <f t="shared" si="24"/>
        <v>-10126</v>
      </c>
      <c r="J74" s="28">
        <f t="shared" si="24"/>
        <v>-388727</v>
      </c>
      <c r="K74" s="28">
        <f t="shared" si="24"/>
        <v>28890</v>
      </c>
      <c r="L74" s="28">
        <f t="shared" si="24"/>
        <v>-13921</v>
      </c>
      <c r="M74" s="28">
        <f t="shared" si="24"/>
        <v>-3564</v>
      </c>
      <c r="N74" s="28">
        <f t="shared" si="24"/>
        <v>-55764</v>
      </c>
      <c r="O74" s="30">
        <f t="shared" si="20"/>
        <v>-464422</v>
      </c>
      <c r="P74" s="4"/>
    </row>
    <row r="75" spans="1:16">
      <c r="A75" s="246" t="s">
        <v>256</v>
      </c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4"/>
    </row>
    <row r="76" spans="1:16">
      <c r="A76" s="246" t="s">
        <v>257</v>
      </c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4"/>
    </row>
  </sheetData>
  <mergeCells count="13">
    <mergeCell ref="A63:N63"/>
    <mergeCell ref="A64:O64"/>
    <mergeCell ref="A65:O65"/>
    <mergeCell ref="A48:N48"/>
    <mergeCell ref="A49:O49"/>
    <mergeCell ref="A50:O50"/>
    <mergeCell ref="A32:N32"/>
    <mergeCell ref="A33:O33"/>
    <mergeCell ref="A6:O6"/>
    <mergeCell ref="A10:O10"/>
    <mergeCell ref="A11:O11"/>
    <mergeCell ref="A9:N9"/>
    <mergeCell ref="A34:O34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opLeftCell="A153" workbookViewId="0">
      <selection activeCell="P165" sqref="P1:P1048576"/>
    </sheetView>
  </sheetViews>
  <sheetFormatPr defaultRowHeight="15"/>
  <cols>
    <col min="1" max="1" width="32.5703125" customWidth="1"/>
    <col min="15" max="15" width="10.28515625" customWidth="1"/>
    <col min="16" max="16" width="10.85546875" hidden="1" customWidth="1"/>
  </cols>
  <sheetData>
    <row r="1" spans="1:15" ht="15.75">
      <c r="A1" s="4"/>
      <c r="B1" s="4"/>
      <c r="C1" s="4"/>
      <c r="D1" s="4"/>
      <c r="E1" s="4"/>
      <c r="F1" s="4"/>
      <c r="G1" s="4"/>
      <c r="H1" s="4"/>
      <c r="I1" s="4"/>
      <c r="J1" s="4"/>
      <c r="L1" s="6" t="s">
        <v>31</v>
      </c>
      <c r="M1" s="9"/>
      <c r="N1" s="9"/>
      <c r="O1" s="4"/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L2" s="5" t="s">
        <v>0</v>
      </c>
      <c r="M2" s="10"/>
      <c r="N2" s="10"/>
      <c r="O2" s="4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L3" s="5" t="s">
        <v>1</v>
      </c>
      <c r="M3" s="10"/>
      <c r="N3" s="10"/>
      <c r="O3" s="4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L4" s="5" t="s">
        <v>2</v>
      </c>
      <c r="M4" s="10"/>
      <c r="N4" s="10"/>
      <c r="O4" s="4"/>
    </row>
    <row r="5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0"/>
      <c r="M5" s="10"/>
      <c r="N5" s="10"/>
      <c r="O5" s="10"/>
    </row>
    <row r="6" spans="1:15">
      <c r="A6" s="283" t="s">
        <v>32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</row>
    <row r="7" spans="1:15" s="4" customFormat="1" ht="15.75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thickBot="1">
      <c r="A8" s="7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8" t="s">
        <v>14</v>
      </c>
      <c r="M8" s="8" t="s">
        <v>15</v>
      </c>
      <c r="N8" s="12" t="s">
        <v>16</v>
      </c>
      <c r="O8" s="13" t="s">
        <v>23</v>
      </c>
    </row>
    <row r="9" spans="1:15">
      <c r="A9" s="290" t="s">
        <v>33</v>
      </c>
      <c r="B9" s="291"/>
      <c r="C9" s="291"/>
      <c r="D9" s="291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14"/>
    </row>
    <row r="10" spans="1:15">
      <c r="A10" s="284" t="s">
        <v>34</v>
      </c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6"/>
    </row>
    <row r="11" spans="1:15" ht="15.75" thickBot="1">
      <c r="A11" s="287" t="s">
        <v>35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9"/>
    </row>
    <row r="12" spans="1:15">
      <c r="A12" s="15" t="s">
        <v>19</v>
      </c>
      <c r="B12" s="16">
        <f>SUM(B13)</f>
        <v>39602</v>
      </c>
      <c r="C12" s="16">
        <f t="shared" ref="C12:N12" si="0">SUM(C13)</f>
        <v>0</v>
      </c>
      <c r="D12" s="16">
        <f t="shared" si="0"/>
        <v>9624</v>
      </c>
      <c r="E12" s="16">
        <f t="shared" si="0"/>
        <v>0</v>
      </c>
      <c r="F12" s="16">
        <f t="shared" si="0"/>
        <v>0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16">
        <f t="shared" si="0"/>
        <v>0</v>
      </c>
      <c r="K12" s="16">
        <f t="shared" si="0"/>
        <v>29978</v>
      </c>
      <c r="L12" s="16">
        <f t="shared" si="0"/>
        <v>0</v>
      </c>
      <c r="M12" s="16">
        <f t="shared" si="0"/>
        <v>0</v>
      </c>
      <c r="N12" s="16">
        <f t="shared" si="0"/>
        <v>0</v>
      </c>
      <c r="O12" s="17">
        <f>SUM(O13:O13)</f>
        <v>39602</v>
      </c>
    </row>
    <row r="13" spans="1:15">
      <c r="A13" s="18" t="s">
        <v>28</v>
      </c>
      <c r="B13" s="19">
        <v>39602</v>
      </c>
      <c r="C13" s="19"/>
      <c r="D13" s="19">
        <v>9624</v>
      </c>
      <c r="E13" s="19"/>
      <c r="F13" s="19"/>
      <c r="G13" s="19"/>
      <c r="H13" s="19"/>
      <c r="I13" s="19"/>
      <c r="J13" s="19"/>
      <c r="K13" s="19">
        <v>29978</v>
      </c>
      <c r="L13" s="19"/>
      <c r="M13" s="19"/>
      <c r="N13" s="20"/>
      <c r="O13" s="21">
        <f>SUM(C13:N13)</f>
        <v>39602</v>
      </c>
    </row>
    <row r="14" spans="1:15">
      <c r="A14" s="15" t="s">
        <v>20</v>
      </c>
      <c r="B14" s="16">
        <f t="shared" ref="B14:N14" si="1">SUM(B15:B15)</f>
        <v>39602</v>
      </c>
      <c r="C14" s="16">
        <f t="shared" si="1"/>
        <v>0</v>
      </c>
      <c r="D14" s="16">
        <f t="shared" si="1"/>
        <v>19645</v>
      </c>
      <c r="E14" s="16">
        <f t="shared" si="1"/>
        <v>0</v>
      </c>
      <c r="F14" s="16">
        <f t="shared" si="1"/>
        <v>0</v>
      </c>
      <c r="G14" s="16">
        <f t="shared" si="1"/>
        <v>19957</v>
      </c>
      <c r="H14" s="16">
        <f t="shared" si="1"/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  <c r="L14" s="16">
        <f t="shared" si="1"/>
        <v>0</v>
      </c>
      <c r="M14" s="16">
        <f t="shared" si="1"/>
        <v>0</v>
      </c>
      <c r="N14" s="16">
        <f t="shared" si="1"/>
        <v>0</v>
      </c>
      <c r="O14" s="22">
        <f>SUM(C14:N14)</f>
        <v>39602</v>
      </c>
    </row>
    <row r="15" spans="1:15">
      <c r="A15" s="23" t="s">
        <v>21</v>
      </c>
      <c r="B15" s="24">
        <v>39602</v>
      </c>
      <c r="C15" s="24"/>
      <c r="D15" s="24">
        <v>19645</v>
      </c>
      <c r="E15" s="24"/>
      <c r="F15" s="24"/>
      <c r="G15" s="24">
        <v>19957</v>
      </c>
      <c r="H15" s="24"/>
      <c r="I15" s="24"/>
      <c r="J15" s="24"/>
      <c r="K15" s="24"/>
      <c r="L15" s="24"/>
      <c r="M15" s="24"/>
      <c r="N15" s="25"/>
      <c r="O15" s="26">
        <f>SUM(C15:N15)</f>
        <v>39602</v>
      </c>
    </row>
    <row r="16" spans="1:15" ht="15.75" thickBot="1">
      <c r="A16" s="27" t="s">
        <v>22</v>
      </c>
      <c r="B16" s="28">
        <f t="shared" ref="B16:O16" si="2">SUM(B12-B14)</f>
        <v>0</v>
      </c>
      <c r="C16" s="28">
        <f t="shared" si="2"/>
        <v>0</v>
      </c>
      <c r="D16" s="28">
        <f t="shared" si="2"/>
        <v>-10021</v>
      </c>
      <c r="E16" s="28">
        <f t="shared" si="2"/>
        <v>0</v>
      </c>
      <c r="F16" s="28">
        <f t="shared" si="2"/>
        <v>0</v>
      </c>
      <c r="G16" s="28">
        <f t="shared" si="2"/>
        <v>-19957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29978</v>
      </c>
      <c r="L16" s="28">
        <f t="shared" si="2"/>
        <v>0</v>
      </c>
      <c r="M16" s="28">
        <f t="shared" si="2"/>
        <v>0</v>
      </c>
      <c r="N16" s="29">
        <f t="shared" si="2"/>
        <v>0</v>
      </c>
      <c r="O16" s="30">
        <f t="shared" si="2"/>
        <v>0</v>
      </c>
    </row>
    <row r="17" spans="1:15" ht="15.75" thickBot="1">
      <c r="A17" s="7" t="s">
        <v>3</v>
      </c>
      <c r="B17" s="8" t="s">
        <v>4</v>
      </c>
      <c r="C17" s="8" t="s">
        <v>5</v>
      </c>
      <c r="D17" s="8" t="s">
        <v>6</v>
      </c>
      <c r="E17" s="8" t="s">
        <v>7</v>
      </c>
      <c r="F17" s="8" t="s">
        <v>8</v>
      </c>
      <c r="G17" s="8" t="s">
        <v>9</v>
      </c>
      <c r="H17" s="8" t="s">
        <v>10</v>
      </c>
      <c r="I17" s="8" t="s">
        <v>11</v>
      </c>
      <c r="J17" s="8" t="s">
        <v>12</v>
      </c>
      <c r="K17" s="8" t="s">
        <v>13</v>
      </c>
      <c r="L17" s="8" t="s">
        <v>14</v>
      </c>
      <c r="M17" s="8" t="s">
        <v>15</v>
      </c>
      <c r="N17" s="12" t="s">
        <v>16</v>
      </c>
      <c r="O17" s="13" t="s">
        <v>23</v>
      </c>
    </row>
    <row r="18" spans="1:15">
      <c r="A18" s="290" t="s">
        <v>33</v>
      </c>
      <c r="B18" s="291"/>
      <c r="C18" s="291"/>
      <c r="D18" s="291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14"/>
    </row>
    <row r="19" spans="1:15">
      <c r="A19" s="284" t="s">
        <v>36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6"/>
    </row>
    <row r="20" spans="1:15" ht="15.75" thickBot="1">
      <c r="A20" s="287" t="s">
        <v>37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9"/>
    </row>
    <row r="21" spans="1:15">
      <c r="A21" s="15" t="s">
        <v>19</v>
      </c>
      <c r="B21" s="16">
        <f>SUM(B22)</f>
        <v>442844</v>
      </c>
      <c r="C21" s="16">
        <f t="shared" ref="C21:N21" si="3">SUM(C22)</f>
        <v>158077</v>
      </c>
      <c r="D21" s="16">
        <f t="shared" si="3"/>
        <v>2209</v>
      </c>
      <c r="E21" s="16">
        <f t="shared" si="3"/>
        <v>4364</v>
      </c>
      <c r="F21" s="16">
        <f t="shared" si="3"/>
        <v>982</v>
      </c>
      <c r="G21" s="16">
        <f t="shared" si="3"/>
        <v>86142</v>
      </c>
      <c r="H21" s="16">
        <f t="shared" si="3"/>
        <v>400</v>
      </c>
      <c r="I21" s="16">
        <f t="shared" si="3"/>
        <v>108940</v>
      </c>
      <c r="J21" s="16">
        <f t="shared" si="3"/>
        <v>79254</v>
      </c>
      <c r="K21" s="16">
        <f t="shared" si="3"/>
        <v>2476</v>
      </c>
      <c r="L21" s="16">
        <f t="shared" si="3"/>
        <v>0</v>
      </c>
      <c r="M21" s="16">
        <f t="shared" si="3"/>
        <v>0</v>
      </c>
      <c r="N21" s="16">
        <f t="shared" si="3"/>
        <v>0</v>
      </c>
      <c r="O21" s="17">
        <f>SUM(O22:O22)</f>
        <v>442844</v>
      </c>
    </row>
    <row r="22" spans="1:15">
      <c r="A22" s="18" t="s">
        <v>28</v>
      </c>
      <c r="B22" s="19">
        <v>442844</v>
      </c>
      <c r="C22" s="19">
        <v>158077</v>
      </c>
      <c r="D22" s="19">
        <v>2209</v>
      </c>
      <c r="E22" s="19">
        <v>4364</v>
      </c>
      <c r="F22" s="19">
        <v>982</v>
      </c>
      <c r="G22" s="19">
        <v>86142</v>
      </c>
      <c r="H22" s="19">
        <v>400</v>
      </c>
      <c r="I22" s="19">
        <v>108940</v>
      </c>
      <c r="J22" s="19">
        <v>79254</v>
      </c>
      <c r="K22" s="19">
        <v>2476</v>
      </c>
      <c r="L22" s="19"/>
      <c r="M22" s="19"/>
      <c r="N22" s="20"/>
      <c r="O22" s="21">
        <f>SUM(C22:N22)</f>
        <v>442844</v>
      </c>
    </row>
    <row r="23" spans="1:15">
      <c r="A23" s="15" t="s">
        <v>20</v>
      </c>
      <c r="B23" s="16">
        <f t="shared" ref="B23:N23" si="4">SUM(B24:B24)</f>
        <v>442844</v>
      </c>
      <c r="C23" s="16">
        <f t="shared" si="4"/>
        <v>158077</v>
      </c>
      <c r="D23" s="16">
        <f t="shared" si="4"/>
        <v>2209</v>
      </c>
      <c r="E23" s="16">
        <f t="shared" si="4"/>
        <v>4364</v>
      </c>
      <c r="F23" s="16">
        <f t="shared" si="4"/>
        <v>982</v>
      </c>
      <c r="G23" s="16">
        <f t="shared" si="4"/>
        <v>86142</v>
      </c>
      <c r="H23" s="16">
        <f t="shared" si="4"/>
        <v>400</v>
      </c>
      <c r="I23" s="16">
        <f t="shared" si="4"/>
        <v>108940</v>
      </c>
      <c r="J23" s="16">
        <f t="shared" si="4"/>
        <v>79254</v>
      </c>
      <c r="K23" s="16">
        <f t="shared" si="4"/>
        <v>2476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22">
        <f>SUM(C23:N23)</f>
        <v>442844</v>
      </c>
    </row>
    <row r="24" spans="1:15">
      <c r="A24" s="23" t="s">
        <v>21</v>
      </c>
      <c r="B24" s="24">
        <v>442844</v>
      </c>
      <c r="C24" s="24">
        <v>158077</v>
      </c>
      <c r="D24" s="24">
        <v>2209</v>
      </c>
      <c r="E24" s="24">
        <v>4364</v>
      </c>
      <c r="F24" s="24">
        <v>982</v>
      </c>
      <c r="G24" s="24">
        <v>86142</v>
      </c>
      <c r="H24" s="24">
        <v>400</v>
      </c>
      <c r="I24" s="24">
        <v>108940</v>
      </c>
      <c r="J24" s="24">
        <v>79254</v>
      </c>
      <c r="K24" s="24">
        <v>2476</v>
      </c>
      <c r="L24" s="24"/>
      <c r="M24" s="24"/>
      <c r="N24" s="25"/>
      <c r="O24" s="26">
        <f>SUM(C24:N24)</f>
        <v>442844</v>
      </c>
    </row>
    <row r="25" spans="1:15" ht="15.75" thickBot="1">
      <c r="A25" s="27" t="s">
        <v>22</v>
      </c>
      <c r="B25" s="28">
        <f t="shared" ref="B25:O25" si="5">SUM(B21-B23)</f>
        <v>0</v>
      </c>
      <c r="C25" s="28">
        <f t="shared" si="5"/>
        <v>0</v>
      </c>
      <c r="D25" s="28">
        <f t="shared" si="5"/>
        <v>0</v>
      </c>
      <c r="E25" s="28">
        <f t="shared" si="5"/>
        <v>0</v>
      </c>
      <c r="F25" s="28">
        <f t="shared" si="5"/>
        <v>0</v>
      </c>
      <c r="G25" s="28">
        <f t="shared" si="5"/>
        <v>0</v>
      </c>
      <c r="H25" s="28">
        <f t="shared" si="5"/>
        <v>0</v>
      </c>
      <c r="I25" s="28">
        <f t="shared" si="5"/>
        <v>0</v>
      </c>
      <c r="J25" s="28">
        <f t="shared" si="5"/>
        <v>0</v>
      </c>
      <c r="K25" s="28">
        <f t="shared" si="5"/>
        <v>0</v>
      </c>
      <c r="L25" s="28">
        <f t="shared" si="5"/>
        <v>0</v>
      </c>
      <c r="M25" s="28">
        <f t="shared" si="5"/>
        <v>0</v>
      </c>
      <c r="N25" s="29">
        <f t="shared" si="5"/>
        <v>0</v>
      </c>
      <c r="O25" s="30">
        <f t="shared" si="5"/>
        <v>0</v>
      </c>
    </row>
    <row r="26" spans="1:15" ht="15.75" thickBot="1">
      <c r="A26" s="7" t="s">
        <v>3</v>
      </c>
      <c r="B26" s="8" t="s">
        <v>4</v>
      </c>
      <c r="C26" s="8" t="s">
        <v>5</v>
      </c>
      <c r="D26" s="8" t="s">
        <v>6</v>
      </c>
      <c r="E26" s="8" t="s">
        <v>7</v>
      </c>
      <c r="F26" s="8" t="s">
        <v>8</v>
      </c>
      <c r="G26" s="8" t="s">
        <v>9</v>
      </c>
      <c r="H26" s="8" t="s">
        <v>10</v>
      </c>
      <c r="I26" s="8" t="s">
        <v>11</v>
      </c>
      <c r="J26" s="8" t="s">
        <v>12</v>
      </c>
      <c r="K26" s="8" t="s">
        <v>13</v>
      </c>
      <c r="L26" s="8" t="s">
        <v>14</v>
      </c>
      <c r="M26" s="8" t="s">
        <v>15</v>
      </c>
      <c r="N26" s="12" t="s">
        <v>16</v>
      </c>
      <c r="O26" s="13" t="s">
        <v>23</v>
      </c>
    </row>
    <row r="27" spans="1:15">
      <c r="A27" s="290" t="s">
        <v>33</v>
      </c>
      <c r="B27" s="291"/>
      <c r="C27" s="291"/>
      <c r="D27" s="291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14"/>
    </row>
    <row r="28" spans="1:15">
      <c r="A28" s="284" t="s">
        <v>38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6"/>
    </row>
    <row r="29" spans="1:15" ht="15.75" thickBot="1">
      <c r="A29" s="287" t="s">
        <v>39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9"/>
    </row>
    <row r="30" spans="1:15">
      <c r="A30" s="15" t="s">
        <v>19</v>
      </c>
      <c r="B30" s="16">
        <f>SUM(B31)</f>
        <v>114005</v>
      </c>
      <c r="C30" s="16">
        <f t="shared" ref="C30:N30" si="6">SUM(C31)</f>
        <v>91204</v>
      </c>
      <c r="D30" s="16">
        <f t="shared" si="6"/>
        <v>0</v>
      </c>
      <c r="E30" s="16">
        <f t="shared" si="6"/>
        <v>0</v>
      </c>
      <c r="F30" s="16">
        <f t="shared" si="6"/>
        <v>0</v>
      </c>
      <c r="G30" s="16">
        <f t="shared" si="6"/>
        <v>0</v>
      </c>
      <c r="H30" s="16">
        <f t="shared" si="6"/>
        <v>0</v>
      </c>
      <c r="I30" s="16">
        <f t="shared" si="6"/>
        <v>0</v>
      </c>
      <c r="J30" s="16">
        <f t="shared" si="6"/>
        <v>0</v>
      </c>
      <c r="K30" s="16">
        <f t="shared" si="6"/>
        <v>0</v>
      </c>
      <c r="L30" s="16">
        <f t="shared" si="6"/>
        <v>0</v>
      </c>
      <c r="M30" s="16">
        <f t="shared" si="6"/>
        <v>0</v>
      </c>
      <c r="N30" s="16">
        <f t="shared" si="6"/>
        <v>22801</v>
      </c>
      <c r="O30" s="17">
        <f>SUM(O31:O31)</f>
        <v>114005</v>
      </c>
    </row>
    <row r="31" spans="1:15" s="218" customFormat="1">
      <c r="A31" s="163" t="s">
        <v>28</v>
      </c>
      <c r="B31" s="164">
        <v>114005</v>
      </c>
      <c r="C31" s="164">
        <v>91204</v>
      </c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5">
        <v>22801</v>
      </c>
      <c r="O31" s="166">
        <f>SUM(C31:N31)</f>
        <v>114005</v>
      </c>
    </row>
    <row r="32" spans="1:15">
      <c r="A32" s="15" t="s">
        <v>20</v>
      </c>
      <c r="B32" s="16">
        <f t="shared" ref="B32:N32" si="7">SUM(B33:B33)</f>
        <v>114005</v>
      </c>
      <c r="C32" s="16">
        <f t="shared" si="7"/>
        <v>0</v>
      </c>
      <c r="D32" s="16">
        <f t="shared" si="7"/>
        <v>79345</v>
      </c>
      <c r="E32" s="16">
        <f t="shared" si="7"/>
        <v>6500</v>
      </c>
      <c r="F32" s="16">
        <f t="shared" si="7"/>
        <v>0</v>
      </c>
      <c r="G32" s="16">
        <f t="shared" si="7"/>
        <v>0</v>
      </c>
      <c r="H32" s="16">
        <f t="shared" si="7"/>
        <v>0</v>
      </c>
      <c r="I32" s="16">
        <f t="shared" si="7"/>
        <v>0</v>
      </c>
      <c r="J32" s="16">
        <f t="shared" si="7"/>
        <v>0</v>
      </c>
      <c r="K32" s="16">
        <f t="shared" si="7"/>
        <v>0</v>
      </c>
      <c r="L32" s="16">
        <f t="shared" si="7"/>
        <v>19835</v>
      </c>
      <c r="M32" s="16">
        <f t="shared" si="7"/>
        <v>8325</v>
      </c>
      <c r="N32" s="16">
        <f t="shared" si="7"/>
        <v>0</v>
      </c>
      <c r="O32" s="22">
        <f>SUM(C32:N32)</f>
        <v>114005</v>
      </c>
    </row>
    <row r="33" spans="1:15">
      <c r="A33" s="23" t="s">
        <v>21</v>
      </c>
      <c r="B33" s="24">
        <v>114005</v>
      </c>
      <c r="C33" s="24"/>
      <c r="D33" s="24">
        <v>79345</v>
      </c>
      <c r="E33" s="24">
        <v>6500</v>
      </c>
      <c r="F33" s="24"/>
      <c r="G33" s="24"/>
      <c r="H33" s="24"/>
      <c r="I33" s="24"/>
      <c r="J33" s="24"/>
      <c r="K33" s="24"/>
      <c r="L33" s="24">
        <v>19835</v>
      </c>
      <c r="M33" s="24">
        <v>8325</v>
      </c>
      <c r="N33" s="25"/>
      <c r="O33" s="26">
        <f>SUM(C33:N33)</f>
        <v>114005</v>
      </c>
    </row>
    <row r="34" spans="1:15" ht="15.75" thickBot="1">
      <c r="A34" s="27" t="s">
        <v>22</v>
      </c>
      <c r="B34" s="28">
        <f t="shared" ref="B34:O34" si="8">SUM(B30-B32)</f>
        <v>0</v>
      </c>
      <c r="C34" s="28">
        <f t="shared" si="8"/>
        <v>91204</v>
      </c>
      <c r="D34" s="28">
        <f t="shared" si="8"/>
        <v>-79345</v>
      </c>
      <c r="E34" s="28">
        <f t="shared" si="8"/>
        <v>-6500</v>
      </c>
      <c r="F34" s="28">
        <f t="shared" si="8"/>
        <v>0</v>
      </c>
      <c r="G34" s="28">
        <f t="shared" si="8"/>
        <v>0</v>
      </c>
      <c r="H34" s="28">
        <f t="shared" si="8"/>
        <v>0</v>
      </c>
      <c r="I34" s="28">
        <f t="shared" si="8"/>
        <v>0</v>
      </c>
      <c r="J34" s="28">
        <f t="shared" si="8"/>
        <v>0</v>
      </c>
      <c r="K34" s="28">
        <f t="shared" si="8"/>
        <v>0</v>
      </c>
      <c r="L34" s="28">
        <f t="shared" si="8"/>
        <v>-19835</v>
      </c>
      <c r="M34" s="28">
        <f t="shared" si="8"/>
        <v>-8325</v>
      </c>
      <c r="N34" s="29">
        <f t="shared" si="8"/>
        <v>22801</v>
      </c>
      <c r="O34" s="30">
        <f t="shared" si="8"/>
        <v>0</v>
      </c>
    </row>
    <row r="35" spans="1:15" ht="15.75" thickBot="1">
      <c r="A35" s="7" t="s">
        <v>3</v>
      </c>
      <c r="B35" s="8" t="s">
        <v>4</v>
      </c>
      <c r="C35" s="8" t="s">
        <v>5</v>
      </c>
      <c r="D35" s="8" t="s">
        <v>6</v>
      </c>
      <c r="E35" s="8" t="s">
        <v>7</v>
      </c>
      <c r="F35" s="8" t="s">
        <v>8</v>
      </c>
      <c r="G35" s="8" t="s">
        <v>9</v>
      </c>
      <c r="H35" s="8" t="s">
        <v>10</v>
      </c>
      <c r="I35" s="8" t="s">
        <v>11</v>
      </c>
      <c r="J35" s="8" t="s">
        <v>12</v>
      </c>
      <c r="K35" s="8" t="s">
        <v>13</v>
      </c>
      <c r="L35" s="8" t="s">
        <v>14</v>
      </c>
      <c r="M35" s="8" t="s">
        <v>15</v>
      </c>
      <c r="N35" s="12" t="s">
        <v>16</v>
      </c>
      <c r="O35" s="13" t="s">
        <v>23</v>
      </c>
    </row>
    <row r="36" spans="1:15">
      <c r="A36" s="290" t="s">
        <v>33</v>
      </c>
      <c r="B36" s="291"/>
      <c r="C36" s="291"/>
      <c r="D36" s="291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14"/>
    </row>
    <row r="37" spans="1:15">
      <c r="A37" s="284" t="s">
        <v>40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6"/>
    </row>
    <row r="38" spans="1:15" ht="15.75" thickBot="1">
      <c r="A38" s="287" t="s">
        <v>41</v>
      </c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9"/>
    </row>
    <row r="39" spans="1:15">
      <c r="A39" s="15" t="s">
        <v>19</v>
      </c>
      <c r="B39" s="16">
        <f>SUM(B40)</f>
        <v>99587</v>
      </c>
      <c r="C39" s="16">
        <f t="shared" ref="C39:N39" si="9">SUM(C40)</f>
        <v>11376</v>
      </c>
      <c r="D39" s="16">
        <f t="shared" si="9"/>
        <v>88211</v>
      </c>
      <c r="E39" s="16">
        <f t="shared" si="9"/>
        <v>0</v>
      </c>
      <c r="F39" s="16">
        <f t="shared" si="9"/>
        <v>0</v>
      </c>
      <c r="G39" s="16">
        <f t="shared" si="9"/>
        <v>0</v>
      </c>
      <c r="H39" s="16">
        <f t="shared" si="9"/>
        <v>0</v>
      </c>
      <c r="I39" s="16">
        <f t="shared" si="9"/>
        <v>0</v>
      </c>
      <c r="J39" s="16">
        <f t="shared" si="9"/>
        <v>0</v>
      </c>
      <c r="K39" s="16">
        <f t="shared" si="9"/>
        <v>0</v>
      </c>
      <c r="L39" s="16">
        <f t="shared" si="9"/>
        <v>0</v>
      </c>
      <c r="M39" s="16">
        <f t="shared" si="9"/>
        <v>0</v>
      </c>
      <c r="N39" s="16">
        <f t="shared" si="9"/>
        <v>0</v>
      </c>
      <c r="O39" s="17">
        <f>SUM(O40:O40)</f>
        <v>99587</v>
      </c>
    </row>
    <row r="40" spans="1:15">
      <c r="A40" s="18" t="s">
        <v>28</v>
      </c>
      <c r="B40" s="19">
        <v>99587</v>
      </c>
      <c r="C40" s="19">
        <v>11376</v>
      </c>
      <c r="D40" s="19">
        <f>109972-15711-6050</f>
        <v>88211</v>
      </c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21">
        <f>SUM(C40:N40)</f>
        <v>99587</v>
      </c>
    </row>
    <row r="41" spans="1:15">
      <c r="A41" s="15" t="s">
        <v>20</v>
      </c>
      <c r="B41" s="16">
        <f t="shared" ref="B41:N41" si="10">SUM(B42:B42)</f>
        <v>105637</v>
      </c>
      <c r="C41" s="16">
        <f t="shared" si="10"/>
        <v>17426</v>
      </c>
      <c r="D41" s="16">
        <f t="shared" si="10"/>
        <v>88211</v>
      </c>
      <c r="E41" s="16">
        <f t="shared" si="10"/>
        <v>0</v>
      </c>
      <c r="F41" s="16">
        <f t="shared" si="10"/>
        <v>0</v>
      </c>
      <c r="G41" s="16">
        <f t="shared" si="10"/>
        <v>0</v>
      </c>
      <c r="H41" s="16">
        <f t="shared" si="10"/>
        <v>0</v>
      </c>
      <c r="I41" s="16">
        <f t="shared" si="10"/>
        <v>0</v>
      </c>
      <c r="J41" s="16">
        <f t="shared" si="10"/>
        <v>0</v>
      </c>
      <c r="K41" s="16">
        <f t="shared" si="10"/>
        <v>0</v>
      </c>
      <c r="L41" s="16">
        <f t="shared" si="10"/>
        <v>0</v>
      </c>
      <c r="M41" s="16">
        <f t="shared" si="10"/>
        <v>0</v>
      </c>
      <c r="N41" s="16">
        <f t="shared" si="10"/>
        <v>0</v>
      </c>
      <c r="O41" s="22">
        <f>SUM(C41:N41)</f>
        <v>105637</v>
      </c>
    </row>
    <row r="42" spans="1:15">
      <c r="A42" s="23" t="s">
        <v>21</v>
      </c>
      <c r="B42" s="24">
        <v>105637</v>
      </c>
      <c r="C42" s="24">
        <v>17426</v>
      </c>
      <c r="D42" s="24">
        <f>109972-15711-6050</f>
        <v>88211</v>
      </c>
      <c r="E42" s="24"/>
      <c r="F42" s="24"/>
      <c r="G42" s="24"/>
      <c r="H42" s="24"/>
      <c r="I42" s="24"/>
      <c r="J42" s="24"/>
      <c r="K42" s="24"/>
      <c r="L42" s="24"/>
      <c r="M42" s="24"/>
      <c r="N42" s="25"/>
      <c r="O42" s="26">
        <f>SUM(C42:N42)</f>
        <v>105637</v>
      </c>
    </row>
    <row r="43" spans="1:15" ht="15.75" thickBot="1">
      <c r="A43" s="27" t="s">
        <v>22</v>
      </c>
      <c r="B43" s="28">
        <f t="shared" ref="B43:O43" si="11">SUM(B39-B41)</f>
        <v>-6050</v>
      </c>
      <c r="C43" s="28">
        <f t="shared" si="11"/>
        <v>-6050</v>
      </c>
      <c r="D43" s="28">
        <f t="shared" si="11"/>
        <v>0</v>
      </c>
      <c r="E43" s="28">
        <f t="shared" si="11"/>
        <v>0</v>
      </c>
      <c r="F43" s="28">
        <f t="shared" si="11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8">
        <f t="shared" si="11"/>
        <v>0</v>
      </c>
      <c r="L43" s="28">
        <f t="shared" si="11"/>
        <v>0</v>
      </c>
      <c r="M43" s="28">
        <f t="shared" si="11"/>
        <v>0</v>
      </c>
      <c r="N43" s="29">
        <f t="shared" si="11"/>
        <v>0</v>
      </c>
      <c r="O43" s="30">
        <f t="shared" si="11"/>
        <v>-6050</v>
      </c>
    </row>
    <row r="44" spans="1:15" ht="15.75" thickBot="1">
      <c r="A44" s="7" t="s">
        <v>3</v>
      </c>
      <c r="B44" s="8" t="s">
        <v>4</v>
      </c>
      <c r="C44" s="8" t="s">
        <v>5</v>
      </c>
      <c r="D44" s="8" t="s">
        <v>6</v>
      </c>
      <c r="E44" s="8" t="s">
        <v>7</v>
      </c>
      <c r="F44" s="8" t="s">
        <v>8</v>
      </c>
      <c r="G44" s="8" t="s">
        <v>9</v>
      </c>
      <c r="H44" s="8" t="s">
        <v>10</v>
      </c>
      <c r="I44" s="8" t="s">
        <v>11</v>
      </c>
      <c r="J44" s="8" t="s">
        <v>12</v>
      </c>
      <c r="K44" s="8" t="s">
        <v>13</v>
      </c>
      <c r="L44" s="8" t="s">
        <v>14</v>
      </c>
      <c r="M44" s="8" t="s">
        <v>15</v>
      </c>
      <c r="N44" s="12" t="s">
        <v>16</v>
      </c>
      <c r="O44" s="13" t="s">
        <v>23</v>
      </c>
    </row>
    <row r="45" spans="1:15">
      <c r="A45" s="290" t="s">
        <v>33</v>
      </c>
      <c r="B45" s="291"/>
      <c r="C45" s="291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14"/>
    </row>
    <row r="46" spans="1:15">
      <c r="A46" s="284" t="s">
        <v>42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6"/>
    </row>
    <row r="47" spans="1:15" ht="15.75" thickBot="1">
      <c r="A47" s="287" t="s">
        <v>18</v>
      </c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9"/>
    </row>
    <row r="48" spans="1:15">
      <c r="A48" s="32" t="s">
        <v>43</v>
      </c>
      <c r="B48" s="16">
        <f>SUM(B49+B55)</f>
        <v>11962829</v>
      </c>
      <c r="C48" s="16">
        <f t="shared" ref="C48:N48" si="12">SUM(C49+C55)</f>
        <v>0</v>
      </c>
      <c r="D48" s="16">
        <f t="shared" si="12"/>
        <v>0</v>
      </c>
      <c r="E48" s="16">
        <f t="shared" si="12"/>
        <v>5569</v>
      </c>
      <c r="F48" s="16">
        <f t="shared" si="12"/>
        <v>0</v>
      </c>
      <c r="G48" s="16">
        <f t="shared" si="12"/>
        <v>314198</v>
      </c>
      <c r="H48" s="16">
        <f t="shared" si="12"/>
        <v>1417763</v>
      </c>
      <c r="I48" s="16">
        <f t="shared" si="12"/>
        <v>0</v>
      </c>
      <c r="J48" s="16">
        <f t="shared" si="12"/>
        <v>1706693</v>
      </c>
      <c r="K48" s="16">
        <f t="shared" si="12"/>
        <v>0</v>
      </c>
      <c r="L48" s="16">
        <f t="shared" si="12"/>
        <v>0</v>
      </c>
      <c r="M48" s="16">
        <f t="shared" si="12"/>
        <v>8505856</v>
      </c>
      <c r="N48" s="16">
        <f t="shared" si="12"/>
        <v>0</v>
      </c>
      <c r="O48" s="17">
        <f>SUM(C48:N48)</f>
        <v>11950079</v>
      </c>
    </row>
    <row r="49" spans="1:16" s="4" customFormat="1">
      <c r="A49" s="15" t="s">
        <v>44</v>
      </c>
      <c r="B49" s="16">
        <f>SUM(B50:B54)</f>
        <v>68676</v>
      </c>
      <c r="C49" s="16">
        <f t="shared" ref="C49:N49" si="13">SUM(C50:C54)</f>
        <v>0</v>
      </c>
      <c r="D49" s="16">
        <f t="shared" si="13"/>
        <v>0</v>
      </c>
      <c r="E49" s="16">
        <f t="shared" si="13"/>
        <v>5569</v>
      </c>
      <c r="F49" s="16">
        <f t="shared" si="13"/>
        <v>0</v>
      </c>
      <c r="G49" s="16">
        <f t="shared" si="13"/>
        <v>0</v>
      </c>
      <c r="H49" s="16">
        <f t="shared" si="13"/>
        <v>12750</v>
      </c>
      <c r="I49" s="16">
        <f t="shared" si="13"/>
        <v>0</v>
      </c>
      <c r="J49" s="16">
        <f t="shared" si="13"/>
        <v>12750</v>
      </c>
      <c r="K49" s="16">
        <f t="shared" si="13"/>
        <v>0</v>
      </c>
      <c r="L49" s="16">
        <f t="shared" si="13"/>
        <v>0</v>
      </c>
      <c r="M49" s="16">
        <f t="shared" si="13"/>
        <v>24857</v>
      </c>
      <c r="N49" s="16">
        <f t="shared" si="13"/>
        <v>0</v>
      </c>
      <c r="O49" s="31">
        <f>SUM(C49:N49)</f>
        <v>55926</v>
      </c>
    </row>
    <row r="50" spans="1:16" s="4" customFormat="1">
      <c r="A50" s="18" t="s">
        <v>28</v>
      </c>
      <c r="B50" s="19">
        <v>63107</v>
      </c>
      <c r="C50" s="19"/>
      <c r="D50" s="19"/>
      <c r="E50" s="19"/>
      <c r="F50" s="19"/>
      <c r="G50" s="19"/>
      <c r="H50" s="19">
        <v>12750</v>
      </c>
      <c r="I50" s="19"/>
      <c r="J50" s="19">
        <v>12750</v>
      </c>
      <c r="K50" s="19"/>
      <c r="L50" s="19"/>
      <c r="M50" s="19">
        <v>24857</v>
      </c>
      <c r="N50" s="20"/>
      <c r="O50" s="21">
        <f>SUM(C50:N50)</f>
        <v>50357</v>
      </c>
    </row>
    <row r="51" spans="1:16" s="4" customFormat="1">
      <c r="A51" s="18" t="s">
        <v>45</v>
      </c>
      <c r="B51" s="19">
        <v>1114</v>
      </c>
      <c r="C51" s="19"/>
      <c r="D51" s="19"/>
      <c r="E51" s="19">
        <v>1114</v>
      </c>
      <c r="F51" s="19"/>
      <c r="G51" s="19"/>
      <c r="H51" s="19"/>
      <c r="I51" s="19"/>
      <c r="J51" s="19"/>
      <c r="K51" s="19"/>
      <c r="L51" s="19"/>
      <c r="M51" s="19"/>
      <c r="N51" s="20"/>
      <c r="O51" s="21">
        <f t="shared" ref="O51:O54" si="14">SUM(C51:N51)</f>
        <v>1114</v>
      </c>
    </row>
    <row r="52" spans="1:16" s="4" customFormat="1">
      <c r="A52" s="18" t="s">
        <v>25</v>
      </c>
      <c r="B52" s="19">
        <v>1671</v>
      </c>
      <c r="C52" s="19"/>
      <c r="D52" s="19"/>
      <c r="E52" s="19">
        <v>1671</v>
      </c>
      <c r="F52" s="19"/>
      <c r="G52" s="19"/>
      <c r="H52" s="19"/>
      <c r="I52" s="19"/>
      <c r="J52" s="19"/>
      <c r="K52" s="19"/>
      <c r="L52" s="19"/>
      <c r="M52" s="19"/>
      <c r="N52" s="20"/>
      <c r="O52" s="21">
        <f t="shared" si="14"/>
        <v>1671</v>
      </c>
    </row>
    <row r="53" spans="1:16" s="4" customFormat="1">
      <c r="A53" s="18" t="s">
        <v>27</v>
      </c>
      <c r="B53" s="19">
        <v>1670</v>
      </c>
      <c r="C53" s="19"/>
      <c r="D53" s="19"/>
      <c r="E53" s="19">
        <v>1670</v>
      </c>
      <c r="F53" s="19"/>
      <c r="G53" s="19"/>
      <c r="H53" s="19"/>
      <c r="I53" s="19"/>
      <c r="J53" s="19"/>
      <c r="K53" s="19"/>
      <c r="L53" s="19"/>
      <c r="M53" s="19"/>
      <c r="N53" s="20"/>
      <c r="O53" s="21">
        <f t="shared" si="14"/>
        <v>1670</v>
      </c>
    </row>
    <row r="54" spans="1:16" s="4" customFormat="1">
      <c r="A54" s="18" t="s">
        <v>26</v>
      </c>
      <c r="B54" s="19">
        <v>1114</v>
      </c>
      <c r="C54" s="19"/>
      <c r="D54" s="19"/>
      <c r="E54" s="19">
        <v>1114</v>
      </c>
      <c r="F54" s="19"/>
      <c r="G54" s="19"/>
      <c r="H54" s="19"/>
      <c r="I54" s="19"/>
      <c r="J54" s="19"/>
      <c r="K54" s="19"/>
      <c r="L54" s="19"/>
      <c r="M54" s="19"/>
      <c r="N54" s="20"/>
      <c r="O54" s="21">
        <f t="shared" si="14"/>
        <v>1114</v>
      </c>
    </row>
    <row r="55" spans="1:16" s="4" customFormat="1">
      <c r="A55" s="15" t="s">
        <v>46</v>
      </c>
      <c r="B55" s="16">
        <f>SUM(B56:B60)</f>
        <v>11894153</v>
      </c>
      <c r="C55" s="16">
        <f t="shared" ref="C55:N55" si="15">SUM(C56:C60)</f>
        <v>0</v>
      </c>
      <c r="D55" s="16">
        <f t="shared" si="15"/>
        <v>0</v>
      </c>
      <c r="E55" s="16">
        <f t="shared" si="15"/>
        <v>0</v>
      </c>
      <c r="F55" s="16">
        <f t="shared" si="15"/>
        <v>0</v>
      </c>
      <c r="G55" s="16">
        <f t="shared" si="15"/>
        <v>314198</v>
      </c>
      <c r="H55" s="16">
        <f t="shared" si="15"/>
        <v>1405013</v>
      </c>
      <c r="I55" s="16">
        <f t="shared" si="15"/>
        <v>0</v>
      </c>
      <c r="J55" s="16">
        <f t="shared" si="15"/>
        <v>1693943</v>
      </c>
      <c r="K55" s="16">
        <f t="shared" si="15"/>
        <v>0</v>
      </c>
      <c r="L55" s="16">
        <f t="shared" si="15"/>
        <v>0</v>
      </c>
      <c r="M55" s="16">
        <f t="shared" si="15"/>
        <v>8480999</v>
      </c>
      <c r="N55" s="16">
        <f t="shared" si="15"/>
        <v>0</v>
      </c>
      <c r="O55" s="31">
        <f>SUM(C55:N55)</f>
        <v>11894153</v>
      </c>
    </row>
    <row r="56" spans="1:16">
      <c r="A56" s="18" t="s">
        <v>28</v>
      </c>
      <c r="B56" s="19">
        <v>10489140</v>
      </c>
      <c r="C56" s="19"/>
      <c r="D56" s="19"/>
      <c r="E56" s="19"/>
      <c r="F56" s="19"/>
      <c r="G56" s="19">
        <v>314198</v>
      </c>
      <c r="H56" s="19"/>
      <c r="I56" s="19"/>
      <c r="J56" s="19">
        <v>1693943</v>
      </c>
      <c r="K56" s="19"/>
      <c r="L56" s="19"/>
      <c r="M56" s="19">
        <f>12220999-3676893-1468120+1405013</f>
        <v>8480999</v>
      </c>
      <c r="N56" s="20"/>
      <c r="O56" s="21">
        <v>10489140</v>
      </c>
    </row>
    <row r="57" spans="1:16" s="4" customFormat="1">
      <c r="A57" s="18" t="s">
        <v>45</v>
      </c>
      <c r="B57" s="19">
        <v>286102</v>
      </c>
      <c r="C57" s="19"/>
      <c r="D57" s="19"/>
      <c r="E57" s="19"/>
      <c r="F57" s="19"/>
      <c r="G57" s="19"/>
      <c r="H57" s="19">
        <v>286102</v>
      </c>
      <c r="I57" s="19"/>
      <c r="J57" s="19"/>
      <c r="K57" s="19"/>
      <c r="L57" s="19"/>
      <c r="M57" s="19"/>
      <c r="N57" s="20"/>
      <c r="O57" s="21">
        <f t="shared" ref="O57:O60" si="16">SUM(C57:N57)</f>
        <v>286102</v>
      </c>
    </row>
    <row r="58" spans="1:16" s="4" customFormat="1">
      <c r="A58" s="18" t="s">
        <v>25</v>
      </c>
      <c r="B58" s="19">
        <v>429154</v>
      </c>
      <c r="C58" s="19"/>
      <c r="D58" s="19"/>
      <c r="E58" s="19"/>
      <c r="F58" s="19"/>
      <c r="G58" s="19"/>
      <c r="H58" s="19">
        <v>429154</v>
      </c>
      <c r="I58" s="19"/>
      <c r="J58" s="19"/>
      <c r="K58" s="19"/>
      <c r="L58" s="19"/>
      <c r="M58" s="19"/>
      <c r="N58" s="20"/>
      <c r="O58" s="21">
        <f t="shared" si="16"/>
        <v>429154</v>
      </c>
    </row>
    <row r="59" spans="1:16" s="4" customFormat="1">
      <c r="A59" s="18" t="s">
        <v>27</v>
      </c>
      <c r="B59" s="19">
        <v>429153</v>
      </c>
      <c r="C59" s="19"/>
      <c r="D59" s="19"/>
      <c r="E59" s="19"/>
      <c r="F59" s="19"/>
      <c r="G59" s="19"/>
      <c r="H59" s="19">
        <v>429153</v>
      </c>
      <c r="I59" s="19"/>
      <c r="J59" s="19"/>
      <c r="K59" s="19"/>
      <c r="L59" s="19"/>
      <c r="M59" s="19"/>
      <c r="N59" s="20"/>
      <c r="O59" s="21">
        <f t="shared" si="16"/>
        <v>429153</v>
      </c>
    </row>
    <row r="60" spans="1:16" s="4" customFormat="1">
      <c r="A60" s="18" t="s">
        <v>26</v>
      </c>
      <c r="B60" s="19">
        <v>260604</v>
      </c>
      <c r="C60" s="19"/>
      <c r="D60" s="19"/>
      <c r="E60" s="19"/>
      <c r="F60" s="19"/>
      <c r="G60" s="19"/>
      <c r="H60" s="19">
        <v>260604</v>
      </c>
      <c r="I60" s="19"/>
      <c r="J60" s="19"/>
      <c r="K60" s="19"/>
      <c r="L60" s="19"/>
      <c r="M60" s="19"/>
      <c r="N60" s="20"/>
      <c r="O60" s="21">
        <f t="shared" si="16"/>
        <v>260604</v>
      </c>
    </row>
    <row r="61" spans="1:16">
      <c r="A61" s="15" t="s">
        <v>47</v>
      </c>
      <c r="B61" s="16">
        <f>SUM(B62:B63)</f>
        <v>12738910</v>
      </c>
      <c r="C61" s="16">
        <f t="shared" ref="C61:N61" si="17">SUM(C62:C63)</f>
        <v>2885.15</v>
      </c>
      <c r="D61" s="16">
        <f t="shared" si="17"/>
        <v>5057.0200000000004</v>
      </c>
      <c r="E61" s="16">
        <f t="shared" si="17"/>
        <v>5000</v>
      </c>
      <c r="F61" s="16">
        <f t="shared" si="17"/>
        <v>5000</v>
      </c>
      <c r="G61" s="16">
        <f t="shared" si="17"/>
        <v>5000</v>
      </c>
      <c r="H61" s="16">
        <f t="shared" si="17"/>
        <v>349145</v>
      </c>
      <c r="I61" s="16">
        <f t="shared" si="17"/>
        <v>5000</v>
      </c>
      <c r="J61" s="16">
        <f t="shared" si="17"/>
        <v>2012118</v>
      </c>
      <c r="K61" s="16">
        <f t="shared" si="17"/>
        <v>5000</v>
      </c>
      <c r="L61" s="16">
        <f t="shared" si="17"/>
        <v>5000</v>
      </c>
      <c r="M61" s="16">
        <f t="shared" si="17"/>
        <v>5000</v>
      </c>
      <c r="N61" s="16">
        <f t="shared" si="17"/>
        <v>10334705</v>
      </c>
      <c r="O61" s="22">
        <f>SUM(C61:N61)</f>
        <v>12738910.17</v>
      </c>
    </row>
    <row r="62" spans="1:16" s="4" customFormat="1">
      <c r="A62" s="23" t="s">
        <v>48</v>
      </c>
      <c r="B62" s="24">
        <v>74244</v>
      </c>
      <c r="C62" s="24">
        <v>2885.15</v>
      </c>
      <c r="D62" s="24">
        <v>5057.0200000000004</v>
      </c>
      <c r="E62" s="24">
        <v>5000</v>
      </c>
      <c r="F62" s="24">
        <v>5000</v>
      </c>
      <c r="G62" s="24">
        <v>5000</v>
      </c>
      <c r="H62" s="24">
        <v>5000</v>
      </c>
      <c r="I62" s="24">
        <v>5000</v>
      </c>
      <c r="J62" s="24">
        <v>19244</v>
      </c>
      <c r="K62" s="24">
        <v>5000</v>
      </c>
      <c r="L62" s="24">
        <v>5000</v>
      </c>
      <c r="M62" s="24">
        <v>5000</v>
      </c>
      <c r="N62" s="25">
        <v>7058</v>
      </c>
      <c r="O62" s="26">
        <f>SUM(C62:N62)</f>
        <v>74244.17</v>
      </c>
    </row>
    <row r="63" spans="1:16">
      <c r="A63" s="23" t="s">
        <v>49</v>
      </c>
      <c r="B63" s="24">
        <v>12664666</v>
      </c>
      <c r="C63" s="24"/>
      <c r="D63" s="24"/>
      <c r="E63" s="24"/>
      <c r="F63" s="24"/>
      <c r="G63" s="24"/>
      <c r="H63" s="24">
        <v>344145</v>
      </c>
      <c r="I63" s="24"/>
      <c r="J63" s="24">
        <v>1992874</v>
      </c>
      <c r="K63" s="24"/>
      <c r="L63" s="24"/>
      <c r="M63" s="24"/>
      <c r="N63" s="25">
        <f>14727647-4400000</f>
        <v>10327647</v>
      </c>
      <c r="O63" s="26">
        <f>SUM(C63:N63)</f>
        <v>12664666</v>
      </c>
    </row>
    <row r="64" spans="1:16" ht="15.75" thickBot="1">
      <c r="A64" s="27" t="s">
        <v>22</v>
      </c>
      <c r="B64" s="28">
        <f>SUM(B48-B61)</f>
        <v>-776081</v>
      </c>
      <c r="C64" s="28">
        <f t="shared" ref="C64:N64" si="18">SUM(C48-C61)</f>
        <v>-2885.15</v>
      </c>
      <c r="D64" s="28">
        <f t="shared" si="18"/>
        <v>-5057.0200000000004</v>
      </c>
      <c r="E64" s="28">
        <f t="shared" si="18"/>
        <v>569</v>
      </c>
      <c r="F64" s="28">
        <f t="shared" si="18"/>
        <v>-5000</v>
      </c>
      <c r="G64" s="28">
        <f t="shared" si="18"/>
        <v>309198</v>
      </c>
      <c r="H64" s="28">
        <f t="shared" si="18"/>
        <v>1068618</v>
      </c>
      <c r="I64" s="28">
        <f t="shared" si="18"/>
        <v>-5000</v>
      </c>
      <c r="J64" s="28">
        <f t="shared" si="18"/>
        <v>-305425</v>
      </c>
      <c r="K64" s="28">
        <f t="shared" si="18"/>
        <v>-5000</v>
      </c>
      <c r="L64" s="28">
        <f t="shared" si="18"/>
        <v>-5000</v>
      </c>
      <c r="M64" s="28">
        <f t="shared" si="18"/>
        <v>8500856</v>
      </c>
      <c r="N64" s="28">
        <f t="shared" si="18"/>
        <v>-10334705</v>
      </c>
      <c r="O64" s="30">
        <f>SUM(C64:N64)</f>
        <v>-788831.16999999993</v>
      </c>
      <c r="P64" s="100">
        <f>SUM(O64-B64)</f>
        <v>-12750.169999999925</v>
      </c>
    </row>
    <row r="65" spans="1:15" ht="15.75" thickBot="1">
      <c r="A65" s="7" t="s">
        <v>3</v>
      </c>
      <c r="B65" s="8" t="s">
        <v>4</v>
      </c>
      <c r="C65" s="8" t="s">
        <v>5</v>
      </c>
      <c r="D65" s="8" t="s">
        <v>6</v>
      </c>
      <c r="E65" s="8" t="s">
        <v>7</v>
      </c>
      <c r="F65" s="8" t="s">
        <v>8</v>
      </c>
      <c r="G65" s="8" t="s">
        <v>9</v>
      </c>
      <c r="H65" s="8" t="s">
        <v>10</v>
      </c>
      <c r="I65" s="8" t="s">
        <v>11</v>
      </c>
      <c r="J65" s="8" t="s">
        <v>12</v>
      </c>
      <c r="K65" s="8" t="s">
        <v>13</v>
      </c>
      <c r="L65" s="8" t="s">
        <v>14</v>
      </c>
      <c r="M65" s="8" t="s">
        <v>15</v>
      </c>
      <c r="N65" s="12" t="s">
        <v>16</v>
      </c>
      <c r="O65" s="13" t="s">
        <v>23</v>
      </c>
    </row>
    <row r="66" spans="1:15">
      <c r="A66" s="290" t="s">
        <v>33</v>
      </c>
      <c r="B66" s="291"/>
      <c r="C66" s="291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14"/>
    </row>
    <row r="67" spans="1:15">
      <c r="A67" s="284" t="s">
        <v>50</v>
      </c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6"/>
    </row>
    <row r="68" spans="1:15" ht="15.75" thickBot="1">
      <c r="A68" s="287" t="s">
        <v>29</v>
      </c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9"/>
    </row>
    <row r="69" spans="1:15">
      <c r="A69" s="15" t="s">
        <v>19</v>
      </c>
      <c r="B69" s="16">
        <f>SUM(B70:B71)</f>
        <v>173901</v>
      </c>
      <c r="C69" s="16">
        <f t="shared" ref="C69:N69" si="19">SUM(C70:C71)</f>
        <v>0</v>
      </c>
      <c r="D69" s="16">
        <f t="shared" si="19"/>
        <v>0</v>
      </c>
      <c r="E69" s="16">
        <f t="shared" si="19"/>
        <v>0</v>
      </c>
      <c r="F69" s="16">
        <f t="shared" si="19"/>
        <v>0</v>
      </c>
      <c r="G69" s="16">
        <f t="shared" si="19"/>
        <v>173901</v>
      </c>
      <c r="H69" s="16">
        <f t="shared" si="19"/>
        <v>0</v>
      </c>
      <c r="I69" s="16">
        <f t="shared" si="19"/>
        <v>0</v>
      </c>
      <c r="J69" s="16">
        <f t="shared" si="19"/>
        <v>0</v>
      </c>
      <c r="K69" s="16">
        <f t="shared" si="19"/>
        <v>0</v>
      </c>
      <c r="L69" s="16">
        <f t="shared" si="19"/>
        <v>0</v>
      </c>
      <c r="M69" s="16">
        <f t="shared" si="19"/>
        <v>0</v>
      </c>
      <c r="N69" s="16">
        <f t="shared" si="19"/>
        <v>0</v>
      </c>
      <c r="O69" s="17">
        <f t="shared" ref="O69:O74" si="20">SUM(C69:N69)</f>
        <v>173901</v>
      </c>
    </row>
    <row r="70" spans="1:15" s="218" customFormat="1">
      <c r="A70" s="163" t="s">
        <v>28</v>
      </c>
      <c r="B70" s="164">
        <v>161560</v>
      </c>
      <c r="C70" s="164"/>
      <c r="D70" s="164"/>
      <c r="E70" s="164"/>
      <c r="F70" s="164"/>
      <c r="G70" s="164">
        <v>161560</v>
      </c>
      <c r="H70" s="164"/>
      <c r="I70" s="164"/>
      <c r="J70" s="164"/>
      <c r="K70" s="164"/>
      <c r="L70" s="164"/>
      <c r="M70" s="164"/>
      <c r="N70" s="165"/>
      <c r="O70" s="166">
        <f t="shared" si="20"/>
        <v>161560</v>
      </c>
    </row>
    <row r="71" spans="1:15" s="218" customFormat="1">
      <c r="A71" s="163" t="s">
        <v>24</v>
      </c>
      <c r="B71" s="164">
        <v>12341</v>
      </c>
      <c r="C71" s="164"/>
      <c r="D71" s="164"/>
      <c r="E71" s="164"/>
      <c r="F71" s="164"/>
      <c r="G71" s="164">
        <v>12341</v>
      </c>
      <c r="H71" s="164"/>
      <c r="I71" s="164"/>
      <c r="J71" s="164"/>
      <c r="K71" s="164"/>
      <c r="L71" s="164"/>
      <c r="M71" s="164"/>
      <c r="N71" s="165"/>
      <c r="O71" s="166">
        <f t="shared" si="20"/>
        <v>12341</v>
      </c>
    </row>
    <row r="72" spans="1:15">
      <c r="A72" s="15" t="s">
        <v>20</v>
      </c>
      <c r="B72" s="16">
        <f t="shared" ref="B72:N72" si="21">SUM(B73:B73)</f>
        <v>174031</v>
      </c>
      <c r="C72" s="16">
        <f t="shared" si="21"/>
        <v>0</v>
      </c>
      <c r="D72" s="16">
        <f t="shared" si="21"/>
        <v>2118</v>
      </c>
      <c r="E72" s="16">
        <f t="shared" si="21"/>
        <v>9318</v>
      </c>
      <c r="F72" s="16">
        <f t="shared" si="21"/>
        <v>9834</v>
      </c>
      <c r="G72" s="16">
        <f t="shared" si="21"/>
        <v>9318</v>
      </c>
      <c r="H72" s="16">
        <f t="shared" si="21"/>
        <v>9332</v>
      </c>
      <c r="I72" s="16">
        <f t="shared" si="21"/>
        <v>60152</v>
      </c>
      <c r="J72" s="16">
        <f t="shared" si="21"/>
        <v>50154</v>
      </c>
      <c r="K72" s="16">
        <f t="shared" si="21"/>
        <v>16020</v>
      </c>
      <c r="L72" s="16">
        <f t="shared" si="21"/>
        <v>5635</v>
      </c>
      <c r="M72" s="16">
        <f t="shared" si="21"/>
        <v>2150</v>
      </c>
      <c r="N72" s="16">
        <f t="shared" si="21"/>
        <v>0</v>
      </c>
      <c r="O72" s="22">
        <f t="shared" si="20"/>
        <v>174031</v>
      </c>
    </row>
    <row r="73" spans="1:15">
      <c r="A73" s="23" t="s">
        <v>21</v>
      </c>
      <c r="B73" s="24">
        <v>174031</v>
      </c>
      <c r="C73" s="24"/>
      <c r="D73" s="24">
        <v>2118</v>
      </c>
      <c r="E73" s="24">
        <v>9318</v>
      </c>
      <c r="F73" s="24">
        <v>9834</v>
      </c>
      <c r="G73" s="24">
        <v>9318</v>
      </c>
      <c r="H73" s="24">
        <v>9332</v>
      </c>
      <c r="I73" s="24">
        <v>60152</v>
      </c>
      <c r="J73" s="24">
        <v>50154</v>
      </c>
      <c r="K73" s="24">
        <v>16020</v>
      </c>
      <c r="L73" s="24">
        <v>5635</v>
      </c>
      <c r="M73" s="24">
        <v>2150</v>
      </c>
      <c r="N73" s="25"/>
      <c r="O73" s="26">
        <f t="shared" si="20"/>
        <v>174031</v>
      </c>
    </row>
    <row r="74" spans="1:15" ht="15.75" thickBot="1">
      <c r="A74" s="27" t="s">
        <v>22</v>
      </c>
      <c r="B74" s="28">
        <f t="shared" ref="B74:N74" si="22">SUM(B69-B72)</f>
        <v>-130</v>
      </c>
      <c r="C74" s="28">
        <f t="shared" si="22"/>
        <v>0</v>
      </c>
      <c r="D74" s="28">
        <f t="shared" si="22"/>
        <v>-2118</v>
      </c>
      <c r="E74" s="28">
        <f t="shared" si="22"/>
        <v>-9318</v>
      </c>
      <c r="F74" s="28">
        <f t="shared" si="22"/>
        <v>-9834</v>
      </c>
      <c r="G74" s="28">
        <f t="shared" si="22"/>
        <v>164583</v>
      </c>
      <c r="H74" s="28">
        <f t="shared" si="22"/>
        <v>-9332</v>
      </c>
      <c r="I74" s="28">
        <f t="shared" si="22"/>
        <v>-60152</v>
      </c>
      <c r="J74" s="28">
        <f t="shared" si="22"/>
        <v>-50154</v>
      </c>
      <c r="K74" s="28">
        <f t="shared" si="22"/>
        <v>-16020</v>
      </c>
      <c r="L74" s="28">
        <f t="shared" si="22"/>
        <v>-5635</v>
      </c>
      <c r="M74" s="28">
        <f t="shared" si="22"/>
        <v>-2150</v>
      </c>
      <c r="N74" s="29">
        <f t="shared" si="22"/>
        <v>0</v>
      </c>
      <c r="O74" s="30">
        <f t="shared" si="20"/>
        <v>-130</v>
      </c>
    </row>
    <row r="75" spans="1:15" ht="15.75" thickBot="1">
      <c r="A75" s="7" t="s">
        <v>3</v>
      </c>
      <c r="B75" s="8" t="s">
        <v>4</v>
      </c>
      <c r="C75" s="8" t="s">
        <v>5</v>
      </c>
      <c r="D75" s="8" t="s">
        <v>6</v>
      </c>
      <c r="E75" s="8" t="s">
        <v>7</v>
      </c>
      <c r="F75" s="8" t="s">
        <v>8</v>
      </c>
      <c r="G75" s="8" t="s">
        <v>9</v>
      </c>
      <c r="H75" s="8" t="s">
        <v>10</v>
      </c>
      <c r="I75" s="8" t="s">
        <v>11</v>
      </c>
      <c r="J75" s="8" t="s">
        <v>12</v>
      </c>
      <c r="K75" s="8" t="s">
        <v>13</v>
      </c>
      <c r="L75" s="8" t="s">
        <v>14</v>
      </c>
      <c r="M75" s="8" t="s">
        <v>15</v>
      </c>
      <c r="N75" s="12" t="s">
        <v>16</v>
      </c>
      <c r="O75" s="13" t="s">
        <v>23</v>
      </c>
    </row>
    <row r="76" spans="1:15">
      <c r="A76" s="290" t="s">
        <v>33</v>
      </c>
      <c r="B76" s="291"/>
      <c r="C76" s="291"/>
      <c r="D76" s="291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14"/>
    </row>
    <row r="77" spans="1:15">
      <c r="A77" s="284" t="s">
        <v>51</v>
      </c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6"/>
    </row>
    <row r="78" spans="1:15" ht="15.75" thickBot="1">
      <c r="A78" s="287" t="s">
        <v>29</v>
      </c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9"/>
    </row>
    <row r="79" spans="1:15">
      <c r="A79" s="15" t="s">
        <v>52</v>
      </c>
      <c r="B79" s="16">
        <f>SUM(B80+B83)</f>
        <v>190265</v>
      </c>
      <c r="C79" s="16">
        <f t="shared" ref="C79:N79" si="23">SUM(C80+C83)</f>
        <v>0</v>
      </c>
      <c r="D79" s="16">
        <f t="shared" si="23"/>
        <v>0</v>
      </c>
      <c r="E79" s="16">
        <f t="shared" si="23"/>
        <v>37413</v>
      </c>
      <c r="F79" s="16">
        <f t="shared" si="23"/>
        <v>0</v>
      </c>
      <c r="G79" s="16">
        <f t="shared" si="23"/>
        <v>150376</v>
      </c>
      <c r="H79" s="16">
        <f t="shared" si="23"/>
        <v>0</v>
      </c>
      <c r="I79" s="16">
        <f t="shared" si="23"/>
        <v>0</v>
      </c>
      <c r="J79" s="16">
        <f t="shared" si="23"/>
        <v>0</v>
      </c>
      <c r="K79" s="16">
        <f t="shared" si="23"/>
        <v>0</v>
      </c>
      <c r="L79" s="16">
        <f t="shared" si="23"/>
        <v>0</v>
      </c>
      <c r="M79" s="16">
        <f t="shared" si="23"/>
        <v>0</v>
      </c>
      <c r="N79" s="16">
        <f t="shared" si="23"/>
        <v>2476</v>
      </c>
      <c r="O79" s="17">
        <f t="shared" ref="O79:O89" si="24">SUM(C79:N79)</f>
        <v>190265</v>
      </c>
    </row>
    <row r="80" spans="1:15" s="4" customFormat="1">
      <c r="A80" s="15" t="s">
        <v>44</v>
      </c>
      <c r="B80" s="16">
        <f>SUM(B81:B82)</f>
        <v>152852</v>
      </c>
      <c r="C80" s="16">
        <f t="shared" ref="C80:N80" si="25">SUM(C81:C82)</f>
        <v>0</v>
      </c>
      <c r="D80" s="16">
        <f t="shared" si="25"/>
        <v>0</v>
      </c>
      <c r="E80" s="16">
        <f t="shared" si="25"/>
        <v>0</v>
      </c>
      <c r="F80" s="16">
        <f t="shared" si="25"/>
        <v>0</v>
      </c>
      <c r="G80" s="16">
        <f t="shared" si="25"/>
        <v>150376</v>
      </c>
      <c r="H80" s="16">
        <f t="shared" si="25"/>
        <v>0</v>
      </c>
      <c r="I80" s="16">
        <f t="shared" si="25"/>
        <v>0</v>
      </c>
      <c r="J80" s="16">
        <f t="shared" si="25"/>
        <v>0</v>
      </c>
      <c r="K80" s="16">
        <f t="shared" si="25"/>
        <v>0</v>
      </c>
      <c r="L80" s="16">
        <f t="shared" si="25"/>
        <v>0</v>
      </c>
      <c r="M80" s="16">
        <f t="shared" si="25"/>
        <v>0</v>
      </c>
      <c r="N80" s="16">
        <f t="shared" si="25"/>
        <v>2476</v>
      </c>
      <c r="O80" s="31">
        <f t="shared" si="24"/>
        <v>152852</v>
      </c>
    </row>
    <row r="81" spans="1:15" s="218" customFormat="1">
      <c r="A81" s="163" t="s">
        <v>28</v>
      </c>
      <c r="B81" s="164">
        <v>142730</v>
      </c>
      <c r="C81" s="164"/>
      <c r="D81" s="164"/>
      <c r="E81" s="164"/>
      <c r="F81" s="164"/>
      <c r="G81" s="164">
        <v>140254</v>
      </c>
      <c r="H81" s="164"/>
      <c r="I81" s="164"/>
      <c r="J81" s="164"/>
      <c r="K81" s="164"/>
      <c r="L81" s="164"/>
      <c r="M81" s="164"/>
      <c r="N81" s="165">
        <v>2476</v>
      </c>
      <c r="O81" s="166">
        <f t="shared" si="24"/>
        <v>142730</v>
      </c>
    </row>
    <row r="82" spans="1:15" s="218" customFormat="1">
      <c r="A82" s="163" t="s">
        <v>24</v>
      </c>
      <c r="B82" s="164">
        <v>10122</v>
      </c>
      <c r="C82" s="164"/>
      <c r="D82" s="164"/>
      <c r="E82" s="164"/>
      <c r="F82" s="164"/>
      <c r="G82" s="164">
        <v>10122</v>
      </c>
      <c r="H82" s="164"/>
      <c r="I82" s="164"/>
      <c r="J82" s="164"/>
      <c r="K82" s="164"/>
      <c r="L82" s="164"/>
      <c r="M82" s="164"/>
      <c r="N82" s="165"/>
      <c r="O82" s="166">
        <f t="shared" si="24"/>
        <v>10122</v>
      </c>
    </row>
    <row r="83" spans="1:15" s="4" customFormat="1">
      <c r="A83" s="15" t="s">
        <v>46</v>
      </c>
      <c r="B83" s="16">
        <f>SUM(B84:B85)</f>
        <v>37413</v>
      </c>
      <c r="C83" s="16">
        <f t="shared" ref="C83:N83" si="26">SUM(C84:C85)</f>
        <v>0</v>
      </c>
      <c r="D83" s="16">
        <f t="shared" si="26"/>
        <v>0</v>
      </c>
      <c r="E83" s="16">
        <f t="shared" si="26"/>
        <v>37413</v>
      </c>
      <c r="F83" s="16">
        <f t="shared" si="26"/>
        <v>0</v>
      </c>
      <c r="G83" s="16">
        <f t="shared" si="26"/>
        <v>0</v>
      </c>
      <c r="H83" s="16">
        <f t="shared" si="26"/>
        <v>0</v>
      </c>
      <c r="I83" s="16">
        <f t="shared" si="26"/>
        <v>0</v>
      </c>
      <c r="J83" s="16">
        <f t="shared" si="26"/>
        <v>0</v>
      </c>
      <c r="K83" s="16">
        <f t="shared" si="26"/>
        <v>0</v>
      </c>
      <c r="L83" s="16">
        <f t="shared" si="26"/>
        <v>0</v>
      </c>
      <c r="M83" s="16">
        <f t="shared" si="26"/>
        <v>0</v>
      </c>
      <c r="N83" s="16">
        <f t="shared" si="26"/>
        <v>0</v>
      </c>
      <c r="O83" s="31">
        <f t="shared" si="24"/>
        <v>37413</v>
      </c>
    </row>
    <row r="84" spans="1:15" s="4" customFormat="1">
      <c r="A84" s="163" t="s">
        <v>28</v>
      </c>
      <c r="B84" s="164">
        <v>34936</v>
      </c>
      <c r="C84" s="164"/>
      <c r="D84" s="164"/>
      <c r="E84" s="164">
        <v>34936</v>
      </c>
      <c r="F84" s="164"/>
      <c r="G84" s="164"/>
      <c r="H84" s="164"/>
      <c r="I84" s="164"/>
      <c r="J84" s="164"/>
      <c r="K84" s="164"/>
      <c r="L84" s="164"/>
      <c r="M84" s="164"/>
      <c r="N84" s="165"/>
      <c r="O84" s="166">
        <f t="shared" si="24"/>
        <v>34936</v>
      </c>
    </row>
    <row r="85" spans="1:15" s="4" customFormat="1">
      <c r="A85" s="163" t="s">
        <v>24</v>
      </c>
      <c r="B85" s="164">
        <v>2477</v>
      </c>
      <c r="C85" s="164"/>
      <c r="D85" s="164"/>
      <c r="E85" s="164">
        <v>2477</v>
      </c>
      <c r="F85" s="164"/>
      <c r="G85" s="164"/>
      <c r="H85" s="164"/>
      <c r="I85" s="164"/>
      <c r="J85" s="164"/>
      <c r="K85" s="164"/>
      <c r="L85" s="164"/>
      <c r="M85" s="164"/>
      <c r="N85" s="165"/>
      <c r="O85" s="166">
        <f t="shared" si="24"/>
        <v>2477</v>
      </c>
    </row>
    <row r="86" spans="1:15">
      <c r="A86" s="15" t="s">
        <v>53</v>
      </c>
      <c r="B86" s="16">
        <f>SUM(B87:B88)</f>
        <v>223258</v>
      </c>
      <c r="C86" s="16">
        <f t="shared" ref="C86:M86" si="27">SUM(C87:C88)</f>
        <v>1081</v>
      </c>
      <c r="D86" s="16">
        <f t="shared" si="27"/>
        <v>3268</v>
      </c>
      <c r="E86" s="16">
        <f t="shared" si="27"/>
        <v>3017</v>
      </c>
      <c r="F86" s="16">
        <f t="shared" si="27"/>
        <v>78064</v>
      </c>
      <c r="G86" s="16">
        <f t="shared" si="27"/>
        <v>2994</v>
      </c>
      <c r="H86" s="16">
        <f t="shared" si="27"/>
        <v>842</v>
      </c>
      <c r="I86" s="16">
        <f t="shared" si="27"/>
        <v>45041</v>
      </c>
      <c r="J86" s="16">
        <f t="shared" si="27"/>
        <v>43601</v>
      </c>
      <c r="K86" s="16">
        <f t="shared" si="27"/>
        <v>1895</v>
      </c>
      <c r="L86" s="16">
        <f t="shared" si="27"/>
        <v>26426</v>
      </c>
      <c r="M86" s="16">
        <f t="shared" si="27"/>
        <v>17029</v>
      </c>
      <c r="N86" s="16">
        <f>SUM(N87:N88)</f>
        <v>0</v>
      </c>
      <c r="O86" s="22">
        <f t="shared" si="24"/>
        <v>223258</v>
      </c>
    </row>
    <row r="87" spans="1:15" s="218" customFormat="1">
      <c r="A87" s="219" t="s">
        <v>48</v>
      </c>
      <c r="B87" s="220">
        <v>185845</v>
      </c>
      <c r="C87" s="220">
        <v>1081</v>
      </c>
      <c r="D87" s="220">
        <v>3268</v>
      </c>
      <c r="E87" s="220">
        <v>3017</v>
      </c>
      <c r="F87" s="220">
        <v>40651</v>
      </c>
      <c r="G87" s="220">
        <v>2994</v>
      </c>
      <c r="H87" s="220">
        <v>842</v>
      </c>
      <c r="I87" s="220">
        <v>45041</v>
      </c>
      <c r="J87" s="220">
        <v>43601</v>
      </c>
      <c r="K87" s="220">
        <v>1895</v>
      </c>
      <c r="L87" s="220">
        <v>26426</v>
      </c>
      <c r="M87" s="220">
        <v>17029</v>
      </c>
      <c r="N87" s="221"/>
      <c r="O87" s="222">
        <f t="shared" si="24"/>
        <v>185845</v>
      </c>
    </row>
    <row r="88" spans="1:15" s="218" customFormat="1">
      <c r="A88" s="219" t="s">
        <v>49</v>
      </c>
      <c r="B88" s="220">
        <v>37413</v>
      </c>
      <c r="C88" s="220"/>
      <c r="D88" s="220"/>
      <c r="E88" s="220"/>
      <c r="F88" s="220">
        <v>37413</v>
      </c>
      <c r="G88" s="220"/>
      <c r="H88" s="220"/>
      <c r="I88" s="220"/>
      <c r="J88" s="220"/>
      <c r="K88" s="220"/>
      <c r="L88" s="220"/>
      <c r="M88" s="220"/>
      <c r="N88" s="221"/>
      <c r="O88" s="222">
        <f t="shared" si="24"/>
        <v>37413</v>
      </c>
    </row>
    <row r="89" spans="1:15" ht="15.75" thickBot="1">
      <c r="A89" s="27" t="s">
        <v>22</v>
      </c>
      <c r="B89" s="28">
        <f>SUM(B79-B86)</f>
        <v>-32993</v>
      </c>
      <c r="C89" s="28">
        <f t="shared" ref="C89:N89" si="28">SUM(C79-C86)</f>
        <v>-1081</v>
      </c>
      <c r="D89" s="28">
        <f t="shared" si="28"/>
        <v>-3268</v>
      </c>
      <c r="E89" s="28">
        <f t="shared" si="28"/>
        <v>34396</v>
      </c>
      <c r="F89" s="28">
        <f t="shared" si="28"/>
        <v>-78064</v>
      </c>
      <c r="G89" s="28">
        <f t="shared" si="28"/>
        <v>147382</v>
      </c>
      <c r="H89" s="28">
        <f t="shared" si="28"/>
        <v>-842</v>
      </c>
      <c r="I89" s="28">
        <f t="shared" si="28"/>
        <v>-45041</v>
      </c>
      <c r="J89" s="28">
        <f t="shared" si="28"/>
        <v>-43601</v>
      </c>
      <c r="K89" s="28">
        <f t="shared" si="28"/>
        <v>-1895</v>
      </c>
      <c r="L89" s="28">
        <f t="shared" si="28"/>
        <v>-26426</v>
      </c>
      <c r="M89" s="28">
        <f t="shared" si="28"/>
        <v>-17029</v>
      </c>
      <c r="N89" s="28">
        <f t="shared" si="28"/>
        <v>2476</v>
      </c>
      <c r="O89" s="30">
        <f t="shared" si="24"/>
        <v>-32993</v>
      </c>
    </row>
    <row r="90" spans="1:15" ht="15.75" thickBot="1">
      <c r="A90" s="7" t="s">
        <v>3</v>
      </c>
      <c r="B90" s="8" t="s">
        <v>4</v>
      </c>
      <c r="C90" s="8" t="s">
        <v>5</v>
      </c>
      <c r="D90" s="8" t="s">
        <v>6</v>
      </c>
      <c r="E90" s="8" t="s">
        <v>7</v>
      </c>
      <c r="F90" s="8" t="s">
        <v>8</v>
      </c>
      <c r="G90" s="8" t="s">
        <v>9</v>
      </c>
      <c r="H90" s="8" t="s">
        <v>10</v>
      </c>
      <c r="I90" s="8" t="s">
        <v>11</v>
      </c>
      <c r="J90" s="8" t="s">
        <v>12</v>
      </c>
      <c r="K90" s="8" t="s">
        <v>13</v>
      </c>
      <c r="L90" s="8" t="s">
        <v>14</v>
      </c>
      <c r="M90" s="8" t="s">
        <v>15</v>
      </c>
      <c r="N90" s="12" t="s">
        <v>16</v>
      </c>
      <c r="O90" s="13" t="s">
        <v>23</v>
      </c>
    </row>
    <row r="91" spans="1:15">
      <c r="A91" s="290" t="s">
        <v>33</v>
      </c>
      <c r="B91" s="291"/>
      <c r="C91" s="291"/>
      <c r="D91" s="291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14"/>
    </row>
    <row r="92" spans="1:15">
      <c r="A92" s="284" t="s">
        <v>54</v>
      </c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6"/>
    </row>
    <row r="93" spans="1:15" ht="15.75" thickBot="1">
      <c r="A93" s="287" t="s">
        <v>39</v>
      </c>
      <c r="B93" s="288"/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288"/>
      <c r="O93" s="289"/>
    </row>
    <row r="94" spans="1:15">
      <c r="A94" s="15" t="s">
        <v>19</v>
      </c>
      <c r="B94" s="16">
        <f>SUM(B95:B96)</f>
        <v>573687</v>
      </c>
      <c r="C94" s="16">
        <f t="shared" ref="C94:N94" si="29">SUM(C95:C96)</f>
        <v>0</v>
      </c>
      <c r="D94" s="16">
        <f t="shared" si="29"/>
        <v>0</v>
      </c>
      <c r="E94" s="16">
        <f t="shared" si="29"/>
        <v>0</v>
      </c>
      <c r="F94" s="16">
        <f t="shared" si="29"/>
        <v>0</v>
      </c>
      <c r="G94" s="16">
        <f t="shared" si="29"/>
        <v>0</v>
      </c>
      <c r="H94" s="16">
        <f t="shared" si="29"/>
        <v>0</v>
      </c>
      <c r="I94" s="16">
        <f t="shared" si="29"/>
        <v>0</v>
      </c>
      <c r="J94" s="16">
        <f t="shared" si="29"/>
        <v>0</v>
      </c>
      <c r="K94" s="16">
        <f t="shared" si="29"/>
        <v>0</v>
      </c>
      <c r="L94" s="16">
        <f t="shared" si="29"/>
        <v>0</v>
      </c>
      <c r="M94" s="16">
        <f t="shared" si="29"/>
        <v>0</v>
      </c>
      <c r="N94" s="16">
        <f t="shared" si="29"/>
        <v>573687</v>
      </c>
      <c r="O94" s="17">
        <f>SUM(O95:O96)</f>
        <v>573687</v>
      </c>
    </row>
    <row r="95" spans="1:15" s="218" customFormat="1">
      <c r="A95" s="163" t="s">
        <v>28</v>
      </c>
      <c r="B95" s="164">
        <v>541816</v>
      </c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5">
        <v>541816</v>
      </c>
      <c r="O95" s="166">
        <f>SUM(C95:N95)</f>
        <v>541816</v>
      </c>
    </row>
    <row r="96" spans="1:15" s="218" customFormat="1">
      <c r="A96" s="163" t="s">
        <v>24</v>
      </c>
      <c r="B96" s="164">
        <v>31871</v>
      </c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5">
        <v>31871</v>
      </c>
      <c r="O96" s="166">
        <f>SUM(C96:N96)</f>
        <v>31871</v>
      </c>
    </row>
    <row r="97" spans="1:15">
      <c r="A97" s="15" t="s">
        <v>20</v>
      </c>
      <c r="B97" s="16">
        <f t="shared" ref="B97:N97" si="30">SUM(B98:B98)</f>
        <v>595533</v>
      </c>
      <c r="C97" s="16">
        <f t="shared" si="30"/>
        <v>0</v>
      </c>
      <c r="D97" s="16">
        <f t="shared" si="30"/>
        <v>0</v>
      </c>
      <c r="E97" s="16">
        <f t="shared" si="30"/>
        <v>0</v>
      </c>
      <c r="F97" s="16">
        <f t="shared" si="30"/>
        <v>0</v>
      </c>
      <c r="G97" s="16">
        <f t="shared" si="30"/>
        <v>0</v>
      </c>
      <c r="H97" s="16">
        <f t="shared" si="30"/>
        <v>0</v>
      </c>
      <c r="I97" s="16">
        <f t="shared" si="30"/>
        <v>0</v>
      </c>
      <c r="J97" s="16">
        <f t="shared" si="30"/>
        <v>0</v>
      </c>
      <c r="K97" s="16">
        <f t="shared" si="30"/>
        <v>0</v>
      </c>
      <c r="L97" s="16">
        <f t="shared" si="30"/>
        <v>198444</v>
      </c>
      <c r="M97" s="16">
        <f t="shared" si="30"/>
        <v>198444</v>
      </c>
      <c r="N97" s="16">
        <f t="shared" si="30"/>
        <v>198645</v>
      </c>
      <c r="O97" s="22">
        <f>SUM(C97:N97)</f>
        <v>595533</v>
      </c>
    </row>
    <row r="98" spans="1:15">
      <c r="A98" s="23" t="s">
        <v>21</v>
      </c>
      <c r="B98" s="24">
        <v>595533</v>
      </c>
      <c r="C98" s="24"/>
      <c r="D98" s="24"/>
      <c r="E98" s="24"/>
      <c r="F98" s="24"/>
      <c r="G98" s="24"/>
      <c r="H98" s="24"/>
      <c r="I98" s="24"/>
      <c r="J98" s="24"/>
      <c r="K98" s="24"/>
      <c r="L98" s="24">
        <v>198444</v>
      </c>
      <c r="M98" s="24">
        <v>198444</v>
      </c>
      <c r="N98" s="25">
        <v>198645</v>
      </c>
      <c r="O98" s="26">
        <f>SUM(C98:N98)</f>
        <v>595533</v>
      </c>
    </row>
    <row r="99" spans="1:15" ht="15.75" thickBot="1">
      <c r="A99" s="27" t="s">
        <v>22</v>
      </c>
      <c r="B99" s="28">
        <f t="shared" ref="B99:O99" si="31">SUM(B94-B97)</f>
        <v>-21846</v>
      </c>
      <c r="C99" s="28">
        <f t="shared" si="31"/>
        <v>0</v>
      </c>
      <c r="D99" s="28">
        <f t="shared" si="31"/>
        <v>0</v>
      </c>
      <c r="E99" s="28">
        <f t="shared" si="31"/>
        <v>0</v>
      </c>
      <c r="F99" s="28">
        <f t="shared" si="31"/>
        <v>0</v>
      </c>
      <c r="G99" s="28">
        <f t="shared" si="31"/>
        <v>0</v>
      </c>
      <c r="H99" s="28">
        <f t="shared" si="31"/>
        <v>0</v>
      </c>
      <c r="I99" s="28">
        <f t="shared" si="31"/>
        <v>0</v>
      </c>
      <c r="J99" s="28">
        <f t="shared" si="31"/>
        <v>0</v>
      </c>
      <c r="K99" s="28">
        <f t="shared" si="31"/>
        <v>0</v>
      </c>
      <c r="L99" s="28">
        <f t="shared" si="31"/>
        <v>-198444</v>
      </c>
      <c r="M99" s="28">
        <f t="shared" si="31"/>
        <v>-198444</v>
      </c>
      <c r="N99" s="29">
        <f t="shared" si="31"/>
        <v>375042</v>
      </c>
      <c r="O99" s="30">
        <f t="shared" si="31"/>
        <v>-21846</v>
      </c>
    </row>
    <row r="100" spans="1:15" ht="15.75" thickBot="1">
      <c r="A100" s="7" t="s">
        <v>3</v>
      </c>
      <c r="B100" s="8" t="s">
        <v>4</v>
      </c>
      <c r="C100" s="8" t="s">
        <v>5</v>
      </c>
      <c r="D100" s="8" t="s">
        <v>6</v>
      </c>
      <c r="E100" s="8" t="s">
        <v>7</v>
      </c>
      <c r="F100" s="8" t="s">
        <v>8</v>
      </c>
      <c r="G100" s="8" t="s">
        <v>9</v>
      </c>
      <c r="H100" s="8" t="s">
        <v>10</v>
      </c>
      <c r="I100" s="8" t="s">
        <v>11</v>
      </c>
      <c r="J100" s="8" t="s">
        <v>12</v>
      </c>
      <c r="K100" s="8" t="s">
        <v>13</v>
      </c>
      <c r="L100" s="8" t="s">
        <v>14</v>
      </c>
      <c r="M100" s="8" t="s">
        <v>15</v>
      </c>
      <c r="N100" s="12" t="s">
        <v>16</v>
      </c>
      <c r="O100" s="13" t="s">
        <v>23</v>
      </c>
    </row>
    <row r="101" spans="1:15">
      <c r="A101" s="290" t="s">
        <v>33</v>
      </c>
      <c r="B101" s="291"/>
      <c r="C101" s="291"/>
      <c r="D101" s="291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14"/>
    </row>
    <row r="102" spans="1:15">
      <c r="A102" s="284" t="s">
        <v>55</v>
      </c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6"/>
    </row>
    <row r="103" spans="1:15" ht="15.75" thickBot="1">
      <c r="A103" s="287" t="s">
        <v>37</v>
      </c>
      <c r="B103" s="288"/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  <c r="O103" s="289"/>
    </row>
    <row r="104" spans="1:15">
      <c r="A104" s="15" t="s">
        <v>19</v>
      </c>
      <c r="B104" s="16">
        <f>SUM(B105:B106)</f>
        <v>429327</v>
      </c>
      <c r="C104" s="16">
        <f t="shared" ref="C104" si="32">SUM(C105:C106)</f>
        <v>0</v>
      </c>
      <c r="D104" s="16">
        <f t="shared" ref="D104" si="33">SUM(D105:D106)</f>
        <v>429327</v>
      </c>
      <c r="E104" s="16">
        <f t="shared" ref="E104" si="34">SUM(E105:E106)</f>
        <v>0</v>
      </c>
      <c r="F104" s="16">
        <f t="shared" ref="F104" si="35">SUM(F105:F106)</f>
        <v>0</v>
      </c>
      <c r="G104" s="16">
        <f t="shared" ref="G104" si="36">SUM(G105:G106)</f>
        <v>0</v>
      </c>
      <c r="H104" s="16">
        <f t="shared" ref="H104" si="37">SUM(H105:H106)</f>
        <v>0</v>
      </c>
      <c r="I104" s="16">
        <f t="shared" ref="I104" si="38">SUM(I105:I106)</f>
        <v>0</v>
      </c>
      <c r="J104" s="16">
        <f t="shared" ref="J104" si="39">SUM(J105:J106)</f>
        <v>0</v>
      </c>
      <c r="K104" s="16">
        <f t="shared" ref="K104" si="40">SUM(K105:K106)</f>
        <v>0</v>
      </c>
      <c r="L104" s="16">
        <f t="shared" ref="L104" si="41">SUM(L105:L106)</f>
        <v>0</v>
      </c>
      <c r="M104" s="16">
        <f t="shared" ref="M104" si="42">SUM(M105:M106)</f>
        <v>0</v>
      </c>
      <c r="N104" s="16">
        <f t="shared" ref="N104" si="43">SUM(N105:N106)</f>
        <v>0</v>
      </c>
      <c r="O104" s="17">
        <f>SUM(C104:N104)</f>
        <v>429327</v>
      </c>
    </row>
    <row r="105" spans="1:15">
      <c r="A105" s="18" t="s">
        <v>28</v>
      </c>
      <c r="B105" s="19">
        <v>405476</v>
      </c>
      <c r="C105" s="19"/>
      <c r="D105" s="19">
        <v>405476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20"/>
      <c r="O105" s="21">
        <f>SUM(C105:N105)</f>
        <v>405476</v>
      </c>
    </row>
    <row r="106" spans="1:15">
      <c r="A106" s="18" t="s">
        <v>24</v>
      </c>
      <c r="B106" s="19">
        <v>23851</v>
      </c>
      <c r="C106" s="19"/>
      <c r="D106" s="19">
        <v>23851</v>
      </c>
      <c r="E106" s="19"/>
      <c r="F106" s="19"/>
      <c r="G106" s="19"/>
      <c r="H106" s="19"/>
      <c r="I106" s="19"/>
      <c r="J106" s="19"/>
      <c r="K106" s="19"/>
      <c r="L106" s="19"/>
      <c r="M106" s="19"/>
      <c r="N106" s="20"/>
      <c r="O106" s="21">
        <f>SUM(C106:N106)</f>
        <v>23851</v>
      </c>
    </row>
    <row r="107" spans="1:15">
      <c r="A107" s="15" t="s">
        <v>20</v>
      </c>
      <c r="B107" s="16">
        <f t="shared" ref="B107:N107" si="44">SUM(B108:B108)</f>
        <v>475199</v>
      </c>
      <c r="C107" s="16">
        <f t="shared" si="44"/>
        <v>0</v>
      </c>
      <c r="D107" s="16">
        <f t="shared" si="44"/>
        <v>8484</v>
      </c>
      <c r="E107" s="16">
        <f t="shared" si="44"/>
        <v>128675</v>
      </c>
      <c r="F107" s="16">
        <f t="shared" si="44"/>
        <v>40621</v>
      </c>
      <c r="G107" s="16">
        <f t="shared" si="44"/>
        <v>33837</v>
      </c>
      <c r="H107" s="16">
        <f t="shared" si="44"/>
        <v>24677</v>
      </c>
      <c r="I107" s="16">
        <f t="shared" si="44"/>
        <v>98697</v>
      </c>
      <c r="J107" s="16">
        <f t="shared" si="44"/>
        <v>63697</v>
      </c>
      <c r="K107" s="16">
        <f t="shared" si="44"/>
        <v>23329</v>
      </c>
      <c r="L107" s="16">
        <f t="shared" si="44"/>
        <v>23489</v>
      </c>
      <c r="M107" s="16">
        <f t="shared" si="44"/>
        <v>21464</v>
      </c>
      <c r="N107" s="16">
        <f t="shared" si="44"/>
        <v>8229</v>
      </c>
      <c r="O107" s="22">
        <f>SUM(C107:N107)</f>
        <v>475199</v>
      </c>
    </row>
    <row r="108" spans="1:15">
      <c r="A108" s="23" t="s">
        <v>21</v>
      </c>
      <c r="B108" s="24">
        <v>475199</v>
      </c>
      <c r="C108" s="24"/>
      <c r="D108" s="24">
        <v>8484</v>
      </c>
      <c r="E108" s="24">
        <v>128675</v>
      </c>
      <c r="F108" s="24">
        <v>40621</v>
      </c>
      <c r="G108" s="24">
        <v>33837</v>
      </c>
      <c r="H108" s="24">
        <v>24677</v>
      </c>
      <c r="I108" s="24">
        <v>98697</v>
      </c>
      <c r="J108" s="24">
        <v>63697</v>
      </c>
      <c r="K108" s="24">
        <v>23329</v>
      </c>
      <c r="L108" s="24">
        <v>23489</v>
      </c>
      <c r="M108" s="24">
        <v>21464</v>
      </c>
      <c r="N108" s="25">
        <v>8229</v>
      </c>
      <c r="O108" s="26">
        <f>SUM(C108:N108)</f>
        <v>475199</v>
      </c>
    </row>
    <row r="109" spans="1:15" ht="15.75" thickBot="1">
      <c r="A109" s="27" t="s">
        <v>22</v>
      </c>
      <c r="B109" s="28">
        <f t="shared" ref="B109:O109" si="45">SUM(B104-B107)</f>
        <v>-45872</v>
      </c>
      <c r="C109" s="28">
        <f t="shared" si="45"/>
        <v>0</v>
      </c>
      <c r="D109" s="28">
        <f t="shared" si="45"/>
        <v>420843</v>
      </c>
      <c r="E109" s="28">
        <f t="shared" si="45"/>
        <v>-128675</v>
      </c>
      <c r="F109" s="28">
        <f t="shared" si="45"/>
        <v>-40621</v>
      </c>
      <c r="G109" s="28">
        <f t="shared" si="45"/>
        <v>-33837</v>
      </c>
      <c r="H109" s="28">
        <f t="shared" si="45"/>
        <v>-24677</v>
      </c>
      <c r="I109" s="28">
        <f t="shared" si="45"/>
        <v>-98697</v>
      </c>
      <c r="J109" s="28">
        <f t="shared" si="45"/>
        <v>-63697</v>
      </c>
      <c r="K109" s="28">
        <f t="shared" si="45"/>
        <v>-23329</v>
      </c>
      <c r="L109" s="28">
        <f t="shared" si="45"/>
        <v>-23489</v>
      </c>
      <c r="M109" s="28">
        <f t="shared" si="45"/>
        <v>-21464</v>
      </c>
      <c r="N109" s="29">
        <f t="shared" si="45"/>
        <v>-8229</v>
      </c>
      <c r="O109" s="30">
        <f t="shared" si="45"/>
        <v>-45872</v>
      </c>
    </row>
    <row r="110" spans="1:15" ht="15.75" thickBot="1">
      <c r="A110" s="7" t="s">
        <v>3</v>
      </c>
      <c r="B110" s="8" t="s">
        <v>4</v>
      </c>
      <c r="C110" s="8" t="s">
        <v>5</v>
      </c>
      <c r="D110" s="8" t="s">
        <v>6</v>
      </c>
      <c r="E110" s="8" t="s">
        <v>7</v>
      </c>
      <c r="F110" s="8" t="s">
        <v>8</v>
      </c>
      <c r="G110" s="8" t="s">
        <v>9</v>
      </c>
      <c r="H110" s="8" t="s">
        <v>10</v>
      </c>
      <c r="I110" s="8" t="s">
        <v>11</v>
      </c>
      <c r="J110" s="8" t="s">
        <v>12</v>
      </c>
      <c r="K110" s="8" t="s">
        <v>13</v>
      </c>
      <c r="L110" s="8" t="s">
        <v>14</v>
      </c>
      <c r="M110" s="8" t="s">
        <v>15</v>
      </c>
      <c r="N110" s="12" t="s">
        <v>16</v>
      </c>
      <c r="O110" s="13" t="s">
        <v>23</v>
      </c>
    </row>
    <row r="111" spans="1:15">
      <c r="A111" s="290" t="s">
        <v>33</v>
      </c>
      <c r="B111" s="291"/>
      <c r="C111" s="291"/>
      <c r="D111" s="291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14"/>
    </row>
    <row r="112" spans="1:15">
      <c r="A112" s="284" t="s">
        <v>56</v>
      </c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6"/>
    </row>
    <row r="113" spans="1:15" ht="15.75" thickBot="1">
      <c r="A113" s="287" t="s">
        <v>29</v>
      </c>
      <c r="B113" s="288"/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  <c r="O113" s="289"/>
    </row>
    <row r="114" spans="1:15">
      <c r="A114" s="15" t="s">
        <v>19</v>
      </c>
      <c r="B114" s="16">
        <f>SUM(B115:B116)</f>
        <v>212715</v>
      </c>
      <c r="C114" s="16">
        <f t="shared" ref="C114" si="46">SUM(C115:C116)</f>
        <v>212715</v>
      </c>
      <c r="D114" s="16">
        <f t="shared" ref="D114" si="47">SUM(D115:D116)</f>
        <v>0</v>
      </c>
      <c r="E114" s="16">
        <f t="shared" ref="E114" si="48">SUM(E115:E116)</f>
        <v>0</v>
      </c>
      <c r="F114" s="16">
        <f t="shared" ref="F114" si="49">SUM(F115:F116)</f>
        <v>0</v>
      </c>
      <c r="G114" s="16">
        <f t="shared" ref="G114" si="50">SUM(G115:G116)</f>
        <v>0</v>
      </c>
      <c r="H114" s="16">
        <f t="shared" ref="H114" si="51">SUM(H115:H116)</f>
        <v>0</v>
      </c>
      <c r="I114" s="16">
        <f t="shared" ref="I114" si="52">SUM(I115:I116)</f>
        <v>0</v>
      </c>
      <c r="J114" s="16">
        <f t="shared" ref="J114" si="53">SUM(J115:J116)</f>
        <v>0</v>
      </c>
      <c r="K114" s="16">
        <f t="shared" ref="K114" si="54">SUM(K115:K116)</f>
        <v>0</v>
      </c>
      <c r="L114" s="16">
        <f t="shared" ref="L114" si="55">SUM(L115:L116)</f>
        <v>0</v>
      </c>
      <c r="M114" s="16">
        <f t="shared" ref="M114" si="56">SUM(M115:M116)</f>
        <v>0</v>
      </c>
      <c r="N114" s="16">
        <f t="shared" ref="N114" si="57">SUM(N115:N116)</f>
        <v>0</v>
      </c>
      <c r="O114" s="17">
        <f>SUM(O115:O116)</f>
        <v>212715</v>
      </c>
    </row>
    <row r="115" spans="1:15">
      <c r="A115" s="163" t="s">
        <v>28</v>
      </c>
      <c r="B115" s="164">
        <v>201820</v>
      </c>
      <c r="C115" s="19">
        <v>201820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20"/>
      <c r="O115" s="21">
        <f>SUM(C115:N115)</f>
        <v>201820</v>
      </c>
    </row>
    <row r="116" spans="1:15">
      <c r="A116" s="163" t="s">
        <v>24</v>
      </c>
      <c r="B116" s="164">
        <v>10895</v>
      </c>
      <c r="C116" s="19">
        <v>10895</v>
      </c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20"/>
      <c r="O116" s="21">
        <f>SUM(C116:N116)</f>
        <v>10895</v>
      </c>
    </row>
    <row r="117" spans="1:15">
      <c r="A117" s="15" t="s">
        <v>20</v>
      </c>
      <c r="B117" s="16">
        <f t="shared" ref="B117:N117" si="58">SUM(B118:B118)</f>
        <v>253765</v>
      </c>
      <c r="C117" s="16">
        <f t="shared" si="58"/>
        <v>0</v>
      </c>
      <c r="D117" s="16">
        <f t="shared" si="58"/>
        <v>0</v>
      </c>
      <c r="E117" s="16">
        <f t="shared" si="58"/>
        <v>27752</v>
      </c>
      <c r="F117" s="16">
        <f t="shared" si="58"/>
        <v>59993</v>
      </c>
      <c r="G117" s="16">
        <f t="shared" si="58"/>
        <v>64116</v>
      </c>
      <c r="H117" s="16">
        <f t="shared" si="58"/>
        <v>17281</v>
      </c>
      <c r="I117" s="16">
        <f t="shared" si="58"/>
        <v>0</v>
      </c>
      <c r="J117" s="16">
        <f t="shared" si="58"/>
        <v>0</v>
      </c>
      <c r="K117" s="16">
        <f t="shared" si="58"/>
        <v>0</v>
      </c>
      <c r="L117" s="16">
        <f t="shared" si="58"/>
        <v>17770</v>
      </c>
      <c r="M117" s="16">
        <f t="shared" si="58"/>
        <v>66853</v>
      </c>
      <c r="N117" s="16">
        <f t="shared" si="58"/>
        <v>0</v>
      </c>
      <c r="O117" s="22">
        <f>SUM(C117:N117)</f>
        <v>253765</v>
      </c>
    </row>
    <row r="118" spans="1:15">
      <c r="A118" s="23" t="s">
        <v>21</v>
      </c>
      <c r="B118" s="24">
        <v>253765</v>
      </c>
      <c r="C118" s="24"/>
      <c r="D118" s="24"/>
      <c r="E118" s="24">
        <v>27752</v>
      </c>
      <c r="F118" s="24">
        <v>59993</v>
      </c>
      <c r="G118" s="24">
        <v>64116</v>
      </c>
      <c r="H118" s="24">
        <v>17281</v>
      </c>
      <c r="I118" s="24"/>
      <c r="J118" s="24"/>
      <c r="K118" s="24"/>
      <c r="L118" s="24">
        <v>17770</v>
      </c>
      <c r="M118" s="24">
        <v>66853</v>
      </c>
      <c r="N118" s="25"/>
      <c r="O118" s="26">
        <f>SUM(C118:N118)</f>
        <v>253765</v>
      </c>
    </row>
    <row r="119" spans="1:15" ht="15.75" thickBot="1">
      <c r="A119" s="27" t="s">
        <v>22</v>
      </c>
      <c r="B119" s="28">
        <f t="shared" ref="B119:O119" si="59">SUM(B114-B117)</f>
        <v>-41050</v>
      </c>
      <c r="C119" s="28">
        <f t="shared" si="59"/>
        <v>212715</v>
      </c>
      <c r="D119" s="28">
        <f t="shared" si="59"/>
        <v>0</v>
      </c>
      <c r="E119" s="28">
        <f t="shared" si="59"/>
        <v>-27752</v>
      </c>
      <c r="F119" s="28">
        <f t="shared" si="59"/>
        <v>-59993</v>
      </c>
      <c r="G119" s="28">
        <f t="shared" si="59"/>
        <v>-64116</v>
      </c>
      <c r="H119" s="28">
        <f t="shared" si="59"/>
        <v>-17281</v>
      </c>
      <c r="I119" s="28">
        <f t="shared" si="59"/>
        <v>0</v>
      </c>
      <c r="J119" s="28">
        <f t="shared" si="59"/>
        <v>0</v>
      </c>
      <c r="K119" s="28">
        <f t="shared" si="59"/>
        <v>0</v>
      </c>
      <c r="L119" s="28">
        <f t="shared" si="59"/>
        <v>-17770</v>
      </c>
      <c r="M119" s="28">
        <f t="shared" si="59"/>
        <v>-66853</v>
      </c>
      <c r="N119" s="29">
        <f t="shared" si="59"/>
        <v>0</v>
      </c>
      <c r="O119" s="30">
        <f t="shared" si="59"/>
        <v>-41050</v>
      </c>
    </row>
    <row r="120" spans="1:15" ht="15.75" thickBot="1">
      <c r="A120" s="7" t="s">
        <v>3</v>
      </c>
      <c r="B120" s="8" t="s">
        <v>4</v>
      </c>
      <c r="C120" s="8" t="s">
        <v>5</v>
      </c>
      <c r="D120" s="8" t="s">
        <v>6</v>
      </c>
      <c r="E120" s="8" t="s">
        <v>7</v>
      </c>
      <c r="F120" s="8" t="s">
        <v>8</v>
      </c>
      <c r="G120" s="8" t="s">
        <v>9</v>
      </c>
      <c r="H120" s="8" t="s">
        <v>10</v>
      </c>
      <c r="I120" s="8" t="s">
        <v>11</v>
      </c>
      <c r="J120" s="8" t="s">
        <v>12</v>
      </c>
      <c r="K120" s="8" t="s">
        <v>13</v>
      </c>
      <c r="L120" s="8" t="s">
        <v>14</v>
      </c>
      <c r="M120" s="8" t="s">
        <v>15</v>
      </c>
      <c r="N120" s="12" t="s">
        <v>16</v>
      </c>
      <c r="O120" s="13" t="s">
        <v>23</v>
      </c>
    </row>
    <row r="121" spans="1:15">
      <c r="A121" s="290" t="s">
        <v>33</v>
      </c>
      <c r="B121" s="291"/>
      <c r="C121" s="291"/>
      <c r="D121" s="291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14"/>
    </row>
    <row r="122" spans="1:15">
      <c r="A122" s="284" t="s">
        <v>57</v>
      </c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6"/>
    </row>
    <row r="123" spans="1:15" ht="15.75" thickBot="1">
      <c r="A123" s="287" t="s">
        <v>35</v>
      </c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289"/>
    </row>
    <row r="124" spans="1:15">
      <c r="A124" s="15" t="s">
        <v>19</v>
      </c>
      <c r="B124" s="16">
        <f>SUM(B125:B126)</f>
        <v>620117</v>
      </c>
      <c r="C124" s="16">
        <f t="shared" ref="C124:N124" si="60">SUM(C125:C126)</f>
        <v>0</v>
      </c>
      <c r="D124" s="16">
        <f t="shared" si="60"/>
        <v>0</v>
      </c>
      <c r="E124" s="16">
        <f t="shared" si="60"/>
        <v>403866</v>
      </c>
      <c r="F124" s="16">
        <f t="shared" si="60"/>
        <v>0</v>
      </c>
      <c r="G124" s="16">
        <f t="shared" si="60"/>
        <v>93814</v>
      </c>
      <c r="H124" s="16">
        <f t="shared" si="60"/>
        <v>0</v>
      </c>
      <c r="I124" s="16">
        <f t="shared" si="60"/>
        <v>0</v>
      </c>
      <c r="J124" s="16">
        <f t="shared" si="60"/>
        <v>31017</v>
      </c>
      <c r="K124" s="16">
        <f t="shared" si="60"/>
        <v>0</v>
      </c>
      <c r="L124" s="16">
        <f t="shared" si="60"/>
        <v>91420</v>
      </c>
      <c r="M124" s="16">
        <f t="shared" si="60"/>
        <v>0</v>
      </c>
      <c r="N124" s="16">
        <f t="shared" si="60"/>
        <v>0</v>
      </c>
      <c r="O124" s="17">
        <f>SUM(O125:O126)</f>
        <v>620117</v>
      </c>
    </row>
    <row r="125" spans="1:15">
      <c r="A125" s="18" t="s">
        <v>28</v>
      </c>
      <c r="B125" s="19">
        <v>567214</v>
      </c>
      <c r="C125" s="19"/>
      <c r="D125" s="19"/>
      <c r="E125" s="19">
        <v>350963</v>
      </c>
      <c r="F125" s="19"/>
      <c r="G125" s="19">
        <v>93814</v>
      </c>
      <c r="H125" s="19"/>
      <c r="I125" s="19"/>
      <c r="J125" s="19">
        <v>31017</v>
      </c>
      <c r="K125" s="19"/>
      <c r="L125" s="19">
        <v>91420</v>
      </c>
      <c r="M125" s="19"/>
      <c r="N125" s="20"/>
      <c r="O125" s="21">
        <f>SUM(C125:N125)</f>
        <v>567214</v>
      </c>
    </row>
    <row r="126" spans="1:15">
      <c r="A126" s="18" t="s">
        <v>24</v>
      </c>
      <c r="B126" s="19">
        <v>52903</v>
      </c>
      <c r="C126" s="19"/>
      <c r="D126" s="19"/>
      <c r="E126" s="19">
        <v>52903</v>
      </c>
      <c r="F126" s="19"/>
      <c r="G126" s="19"/>
      <c r="H126" s="19"/>
      <c r="I126" s="19"/>
      <c r="J126" s="19"/>
      <c r="K126" s="19"/>
      <c r="L126" s="19"/>
      <c r="M126" s="19"/>
      <c r="N126" s="20"/>
      <c r="O126" s="21">
        <f>SUM(C126:N126)</f>
        <v>52903</v>
      </c>
    </row>
    <row r="127" spans="1:15">
      <c r="A127" s="15" t="s">
        <v>20</v>
      </c>
      <c r="B127" s="16">
        <f t="shared" ref="B127:N127" si="61">SUM(B128:B128)</f>
        <v>657116</v>
      </c>
      <c r="C127" s="16">
        <f t="shared" si="61"/>
        <v>0</v>
      </c>
      <c r="D127" s="16">
        <f t="shared" si="61"/>
        <v>0</v>
      </c>
      <c r="E127" s="16">
        <f t="shared" si="61"/>
        <v>364884</v>
      </c>
      <c r="F127" s="16">
        <f t="shared" si="61"/>
        <v>25094</v>
      </c>
      <c r="G127" s="16">
        <f t="shared" si="61"/>
        <v>25094</v>
      </c>
      <c r="H127" s="16">
        <f t="shared" si="61"/>
        <v>25094</v>
      </c>
      <c r="I127" s="16">
        <f t="shared" si="61"/>
        <v>24753</v>
      </c>
      <c r="J127" s="16">
        <f t="shared" si="61"/>
        <v>24753</v>
      </c>
      <c r="K127" s="16">
        <f t="shared" si="61"/>
        <v>25094</v>
      </c>
      <c r="L127" s="16">
        <f t="shared" si="61"/>
        <v>25094</v>
      </c>
      <c r="M127" s="16">
        <f t="shared" si="61"/>
        <v>25094</v>
      </c>
      <c r="N127" s="16">
        <f t="shared" si="61"/>
        <v>92162</v>
      </c>
      <c r="O127" s="22">
        <f>SUM(C127:N127)</f>
        <v>657116</v>
      </c>
    </row>
    <row r="128" spans="1:15">
      <c r="A128" s="23" t="s">
        <v>21</v>
      </c>
      <c r="B128" s="24">
        <v>657116</v>
      </c>
      <c r="C128" s="24"/>
      <c r="D128" s="24"/>
      <c r="E128" s="24">
        <v>364884</v>
      </c>
      <c r="F128" s="24">
        <v>25094</v>
      </c>
      <c r="G128" s="24">
        <v>25094</v>
      </c>
      <c r="H128" s="24">
        <v>25094</v>
      </c>
      <c r="I128" s="24">
        <v>24753</v>
      </c>
      <c r="J128" s="24">
        <v>24753</v>
      </c>
      <c r="K128" s="24">
        <v>25094</v>
      </c>
      <c r="L128" s="24">
        <v>25094</v>
      </c>
      <c r="M128" s="24">
        <v>25094</v>
      </c>
      <c r="N128" s="25">
        <v>92162</v>
      </c>
      <c r="O128" s="26">
        <f>SUM(C128:N128)</f>
        <v>657116</v>
      </c>
    </row>
    <row r="129" spans="1:16" ht="15.75" thickBot="1">
      <c r="A129" s="27" t="s">
        <v>22</v>
      </c>
      <c r="B129" s="28">
        <f t="shared" ref="B129:O129" si="62">SUM(B124-B127)</f>
        <v>-36999</v>
      </c>
      <c r="C129" s="28">
        <f t="shared" si="62"/>
        <v>0</v>
      </c>
      <c r="D129" s="28">
        <f t="shared" si="62"/>
        <v>0</v>
      </c>
      <c r="E129" s="28">
        <f t="shared" si="62"/>
        <v>38982</v>
      </c>
      <c r="F129" s="28">
        <f t="shared" si="62"/>
        <v>-25094</v>
      </c>
      <c r="G129" s="28">
        <f t="shared" si="62"/>
        <v>68720</v>
      </c>
      <c r="H129" s="28">
        <f t="shared" si="62"/>
        <v>-25094</v>
      </c>
      <c r="I129" s="28">
        <f t="shared" si="62"/>
        <v>-24753</v>
      </c>
      <c r="J129" s="28">
        <f t="shared" si="62"/>
        <v>6264</v>
      </c>
      <c r="K129" s="28">
        <f t="shared" si="62"/>
        <v>-25094</v>
      </c>
      <c r="L129" s="28">
        <f t="shared" si="62"/>
        <v>66326</v>
      </c>
      <c r="M129" s="28">
        <f t="shared" si="62"/>
        <v>-25094</v>
      </c>
      <c r="N129" s="29">
        <f t="shared" si="62"/>
        <v>-92162</v>
      </c>
      <c r="O129" s="30">
        <f t="shared" si="62"/>
        <v>-36999</v>
      </c>
    </row>
    <row r="130" spans="1:16" ht="15.75" thickBot="1">
      <c r="A130" s="223" t="s">
        <v>3</v>
      </c>
      <c r="B130" s="224" t="s">
        <v>4</v>
      </c>
      <c r="C130" s="224" t="s">
        <v>5</v>
      </c>
      <c r="D130" s="224" t="s">
        <v>6</v>
      </c>
      <c r="E130" s="224" t="s">
        <v>7</v>
      </c>
      <c r="F130" s="224" t="s">
        <v>8</v>
      </c>
      <c r="G130" s="224" t="s">
        <v>9</v>
      </c>
      <c r="H130" s="224" t="s">
        <v>10</v>
      </c>
      <c r="I130" s="224" t="s">
        <v>11</v>
      </c>
      <c r="J130" s="224" t="s">
        <v>12</v>
      </c>
      <c r="K130" s="224" t="s">
        <v>13</v>
      </c>
      <c r="L130" s="224" t="s">
        <v>14</v>
      </c>
      <c r="M130" s="224" t="s">
        <v>15</v>
      </c>
      <c r="N130" s="231" t="s">
        <v>16</v>
      </c>
      <c r="O130" s="232" t="s">
        <v>23</v>
      </c>
    </row>
    <row r="131" spans="1:16">
      <c r="A131" s="299" t="s">
        <v>33</v>
      </c>
      <c r="B131" s="300"/>
      <c r="C131" s="300"/>
      <c r="D131" s="300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233"/>
    </row>
    <row r="132" spans="1:16">
      <c r="A132" s="302" t="s">
        <v>58</v>
      </c>
      <c r="B132" s="303"/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4"/>
    </row>
    <row r="133" spans="1:16" ht="15.75" thickBot="1">
      <c r="A133" s="293" t="s">
        <v>18</v>
      </c>
      <c r="B133" s="294"/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5"/>
    </row>
    <row r="134" spans="1:16">
      <c r="A134" s="226" t="s">
        <v>52</v>
      </c>
      <c r="B134" s="227">
        <f t="shared" ref="B134:N134" si="63">SUM(B135+B137)</f>
        <v>515246</v>
      </c>
      <c r="C134" s="227">
        <f t="shared" si="63"/>
        <v>0</v>
      </c>
      <c r="D134" s="227">
        <f t="shared" si="63"/>
        <v>5740</v>
      </c>
      <c r="E134" s="227">
        <f t="shared" si="63"/>
        <v>5641</v>
      </c>
      <c r="F134" s="227">
        <f t="shared" si="63"/>
        <v>0</v>
      </c>
      <c r="G134" s="227">
        <f t="shared" si="63"/>
        <v>0</v>
      </c>
      <c r="H134" s="227">
        <f t="shared" si="63"/>
        <v>160774</v>
      </c>
      <c r="I134" s="227">
        <f t="shared" si="63"/>
        <v>0</v>
      </c>
      <c r="J134" s="227">
        <f t="shared" si="63"/>
        <v>0</v>
      </c>
      <c r="K134" s="227">
        <f t="shared" si="63"/>
        <v>0</v>
      </c>
      <c r="L134" s="227">
        <f t="shared" si="63"/>
        <v>3418</v>
      </c>
      <c r="M134" s="227">
        <f t="shared" si="63"/>
        <v>339673</v>
      </c>
      <c r="N134" s="227">
        <f t="shared" si="63"/>
        <v>0</v>
      </c>
      <c r="O134" s="225">
        <f t="shared" ref="O134:O142" si="64">SUM(C134:N134)</f>
        <v>515246</v>
      </c>
    </row>
    <row r="135" spans="1:16">
      <c r="A135" s="226" t="s">
        <v>44</v>
      </c>
      <c r="B135" s="227">
        <f t="shared" ref="B135:N135" si="65">SUM(B136:B136)</f>
        <v>3194</v>
      </c>
      <c r="C135" s="227">
        <f t="shared" si="65"/>
        <v>0</v>
      </c>
      <c r="D135" s="227">
        <f t="shared" si="65"/>
        <v>0</v>
      </c>
      <c r="E135" s="227">
        <f t="shared" si="65"/>
        <v>3194</v>
      </c>
      <c r="F135" s="227">
        <f t="shared" si="65"/>
        <v>0</v>
      </c>
      <c r="G135" s="227">
        <f t="shared" si="65"/>
        <v>0</v>
      </c>
      <c r="H135" s="227">
        <f t="shared" si="65"/>
        <v>0</v>
      </c>
      <c r="I135" s="227">
        <f t="shared" si="65"/>
        <v>0</v>
      </c>
      <c r="J135" s="227">
        <f t="shared" si="65"/>
        <v>0</v>
      </c>
      <c r="K135" s="227">
        <f t="shared" si="65"/>
        <v>0</v>
      </c>
      <c r="L135" s="227">
        <f t="shared" si="65"/>
        <v>0</v>
      </c>
      <c r="M135" s="227">
        <f t="shared" si="65"/>
        <v>0</v>
      </c>
      <c r="N135" s="227">
        <f t="shared" si="65"/>
        <v>0</v>
      </c>
      <c r="O135" s="234">
        <f t="shared" si="64"/>
        <v>3194</v>
      </c>
    </row>
    <row r="136" spans="1:16">
      <c r="A136" s="163" t="s">
        <v>28</v>
      </c>
      <c r="B136" s="164">
        <v>3194</v>
      </c>
      <c r="C136" s="164"/>
      <c r="D136" s="164"/>
      <c r="E136" s="164">
        <v>3194</v>
      </c>
      <c r="F136" s="164"/>
      <c r="G136" s="164"/>
      <c r="H136" s="164"/>
      <c r="I136" s="164"/>
      <c r="J136" s="164"/>
      <c r="K136" s="164"/>
      <c r="L136" s="164"/>
      <c r="M136" s="164"/>
      <c r="N136" s="165"/>
      <c r="O136" s="166">
        <f t="shared" si="64"/>
        <v>3194</v>
      </c>
    </row>
    <row r="137" spans="1:16">
      <c r="A137" s="226" t="s">
        <v>46</v>
      </c>
      <c r="B137" s="227">
        <f t="shared" ref="B137:N137" si="66">SUM(B138:B138)</f>
        <v>512052</v>
      </c>
      <c r="C137" s="227">
        <f t="shared" si="66"/>
        <v>0</v>
      </c>
      <c r="D137" s="227">
        <f t="shared" si="66"/>
        <v>5740</v>
      </c>
      <c r="E137" s="227">
        <f t="shared" si="66"/>
        <v>2447</v>
      </c>
      <c r="F137" s="227">
        <f t="shared" si="66"/>
        <v>0</v>
      </c>
      <c r="G137" s="227">
        <f t="shared" si="66"/>
        <v>0</v>
      </c>
      <c r="H137" s="227">
        <f t="shared" si="66"/>
        <v>160774</v>
      </c>
      <c r="I137" s="227">
        <f t="shared" si="66"/>
        <v>0</v>
      </c>
      <c r="J137" s="227">
        <f t="shared" si="66"/>
        <v>0</v>
      </c>
      <c r="K137" s="227">
        <f t="shared" si="66"/>
        <v>0</v>
      </c>
      <c r="L137" s="227">
        <f t="shared" si="66"/>
        <v>3418</v>
      </c>
      <c r="M137" s="227">
        <f t="shared" si="66"/>
        <v>339673</v>
      </c>
      <c r="N137" s="227">
        <f t="shared" si="66"/>
        <v>0</v>
      </c>
      <c r="O137" s="234">
        <f t="shared" si="64"/>
        <v>512052</v>
      </c>
    </row>
    <row r="138" spans="1:16">
      <c r="A138" s="163" t="s">
        <v>28</v>
      </c>
      <c r="B138" s="164">
        <v>512052</v>
      </c>
      <c r="C138" s="164"/>
      <c r="D138" s="164">
        <v>5740</v>
      </c>
      <c r="E138" s="164">
        <v>2447</v>
      </c>
      <c r="F138" s="164"/>
      <c r="G138" s="164"/>
      <c r="H138" s="164">
        <v>160774</v>
      </c>
      <c r="I138" s="164"/>
      <c r="J138" s="164"/>
      <c r="K138" s="164"/>
      <c r="L138" s="164">
        <v>3418</v>
      </c>
      <c r="M138" s="164">
        <f>460347-120674</f>
        <v>339673</v>
      </c>
      <c r="N138" s="165"/>
      <c r="O138" s="166">
        <f t="shared" si="64"/>
        <v>512052</v>
      </c>
    </row>
    <row r="139" spans="1:16">
      <c r="A139" s="226" t="s">
        <v>53</v>
      </c>
      <c r="B139" s="227">
        <f>SUM(B140:B141)</f>
        <v>948812</v>
      </c>
      <c r="C139" s="227">
        <f t="shared" ref="C139" si="67">SUM(C140:C141)</f>
        <v>1459</v>
      </c>
      <c r="D139" s="227">
        <f t="shared" ref="D139" si="68">SUM(D140:D141)</f>
        <v>1459</v>
      </c>
      <c r="E139" s="227">
        <f t="shared" ref="E139" si="69">SUM(E140:E141)</f>
        <v>1512</v>
      </c>
      <c r="F139" s="227">
        <f t="shared" ref="F139" si="70">SUM(F140:F141)</f>
        <v>1512</v>
      </c>
      <c r="G139" s="227">
        <f t="shared" ref="G139" si="71">SUM(G140:G141)</f>
        <v>1040</v>
      </c>
      <c r="H139" s="227">
        <f t="shared" ref="H139" si="72">SUM(H140:H141)</f>
        <v>1512</v>
      </c>
      <c r="I139" s="227">
        <f t="shared" ref="I139" si="73">SUM(I140:I141)</f>
        <v>253284</v>
      </c>
      <c r="J139" s="227">
        <f t="shared" ref="J139" si="74">SUM(J140:J141)</f>
        <v>1512</v>
      </c>
      <c r="K139" s="227">
        <f t="shared" ref="K139" si="75">SUM(K140:K141)</f>
        <v>1848</v>
      </c>
      <c r="L139" s="227">
        <f t="shared" ref="L139" si="76">SUM(L140:L141)</f>
        <v>1848</v>
      </c>
      <c r="M139" s="227">
        <f t="shared" ref="M139" si="77">SUM(M140:M141)</f>
        <v>681826</v>
      </c>
      <c r="N139" s="227">
        <f>SUM(N140:N141)</f>
        <v>0</v>
      </c>
      <c r="O139" s="228">
        <f t="shared" si="64"/>
        <v>948812</v>
      </c>
    </row>
    <row r="140" spans="1:16">
      <c r="A140" s="219" t="s">
        <v>48</v>
      </c>
      <c r="B140" s="220">
        <v>17062</v>
      </c>
      <c r="C140" s="220">
        <v>1459</v>
      </c>
      <c r="D140" s="220">
        <v>1459</v>
      </c>
      <c r="E140" s="220">
        <v>1512</v>
      </c>
      <c r="F140" s="220">
        <v>1512</v>
      </c>
      <c r="G140" s="220">
        <f>1512-472</f>
        <v>1040</v>
      </c>
      <c r="H140" s="220">
        <v>1512</v>
      </c>
      <c r="I140" s="220">
        <v>1512</v>
      </c>
      <c r="J140" s="220">
        <v>1512</v>
      </c>
      <c r="K140" s="220">
        <v>1848</v>
      </c>
      <c r="L140" s="220">
        <v>1848</v>
      </c>
      <c r="M140" s="220">
        <v>1848</v>
      </c>
      <c r="N140" s="221"/>
      <c r="O140" s="222">
        <f t="shared" si="64"/>
        <v>17062</v>
      </c>
    </row>
    <row r="141" spans="1:16">
      <c r="A141" s="219" t="s">
        <v>49</v>
      </c>
      <c r="B141" s="220">
        <v>931750</v>
      </c>
      <c r="C141" s="220"/>
      <c r="D141" s="220"/>
      <c r="E141" s="220"/>
      <c r="F141" s="220"/>
      <c r="G141" s="220"/>
      <c r="H141" s="220"/>
      <c r="I141" s="220">
        <v>251772</v>
      </c>
      <c r="J141" s="220"/>
      <c r="K141" s="220"/>
      <c r="L141" s="220"/>
      <c r="M141" s="220">
        <v>679978</v>
      </c>
      <c r="N141" s="221"/>
      <c r="O141" s="222">
        <f t="shared" si="64"/>
        <v>931750</v>
      </c>
    </row>
    <row r="142" spans="1:16" ht="15.75" thickBot="1">
      <c r="A142" s="235" t="s">
        <v>22</v>
      </c>
      <c r="B142" s="229">
        <f t="shared" ref="B142:N142" si="78">SUM(B134-B139)</f>
        <v>-433566</v>
      </c>
      <c r="C142" s="229">
        <f t="shared" si="78"/>
        <v>-1459</v>
      </c>
      <c r="D142" s="229">
        <f t="shared" si="78"/>
        <v>4281</v>
      </c>
      <c r="E142" s="229">
        <f t="shared" si="78"/>
        <v>4129</v>
      </c>
      <c r="F142" s="229">
        <f t="shared" si="78"/>
        <v>-1512</v>
      </c>
      <c r="G142" s="229">
        <f t="shared" si="78"/>
        <v>-1040</v>
      </c>
      <c r="H142" s="229">
        <f t="shared" si="78"/>
        <v>159262</v>
      </c>
      <c r="I142" s="229">
        <f t="shared" si="78"/>
        <v>-253284</v>
      </c>
      <c r="J142" s="229">
        <f t="shared" si="78"/>
        <v>-1512</v>
      </c>
      <c r="K142" s="229">
        <f t="shared" si="78"/>
        <v>-1848</v>
      </c>
      <c r="L142" s="229">
        <f t="shared" si="78"/>
        <v>1570</v>
      </c>
      <c r="M142" s="229">
        <f t="shared" si="78"/>
        <v>-342153</v>
      </c>
      <c r="N142" s="229">
        <f t="shared" si="78"/>
        <v>0</v>
      </c>
      <c r="O142" s="230">
        <f t="shared" si="64"/>
        <v>-433566</v>
      </c>
      <c r="P142" s="100">
        <f>SUM(O142-B142)</f>
        <v>0</v>
      </c>
    </row>
    <row r="143" spans="1:16" ht="15.75" thickBot="1">
      <c r="A143" s="223" t="s">
        <v>3</v>
      </c>
      <c r="B143" s="224" t="s">
        <v>4</v>
      </c>
      <c r="C143" s="224" t="s">
        <v>5</v>
      </c>
      <c r="D143" s="224" t="s">
        <v>6</v>
      </c>
      <c r="E143" s="224" t="s">
        <v>7</v>
      </c>
      <c r="F143" s="224" t="s">
        <v>8</v>
      </c>
      <c r="G143" s="224" t="s">
        <v>9</v>
      </c>
      <c r="H143" s="224" t="s">
        <v>10</v>
      </c>
      <c r="I143" s="224" t="s">
        <v>11</v>
      </c>
      <c r="J143" s="224" t="s">
        <v>12</v>
      </c>
      <c r="K143" s="224" t="s">
        <v>13</v>
      </c>
      <c r="L143" s="224" t="s">
        <v>14</v>
      </c>
      <c r="M143" s="224" t="s">
        <v>15</v>
      </c>
      <c r="N143" s="231" t="s">
        <v>16</v>
      </c>
      <c r="O143" s="232" t="s">
        <v>23</v>
      </c>
    </row>
    <row r="144" spans="1:16">
      <c r="A144" s="299" t="s">
        <v>33</v>
      </c>
      <c r="B144" s="300"/>
      <c r="C144" s="300"/>
      <c r="D144" s="300"/>
      <c r="E144" s="301"/>
      <c r="F144" s="301"/>
      <c r="G144" s="301"/>
      <c r="H144" s="301"/>
      <c r="I144" s="301"/>
      <c r="J144" s="301"/>
      <c r="K144" s="301"/>
      <c r="L144" s="301"/>
      <c r="M144" s="301"/>
      <c r="N144" s="301"/>
      <c r="O144" s="233"/>
    </row>
    <row r="145" spans="1:16">
      <c r="A145" s="302" t="s">
        <v>17</v>
      </c>
      <c r="B145" s="303"/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4"/>
    </row>
    <row r="146" spans="1:16" ht="15.75" thickBot="1">
      <c r="A146" s="293" t="s">
        <v>18</v>
      </c>
      <c r="B146" s="294"/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5"/>
    </row>
    <row r="147" spans="1:16">
      <c r="A147" s="226" t="s">
        <v>52</v>
      </c>
      <c r="B147" s="227">
        <f t="shared" ref="B147:N147" si="79">SUM(B148+B150)</f>
        <v>69540</v>
      </c>
      <c r="C147" s="227">
        <f t="shared" si="79"/>
        <v>0</v>
      </c>
      <c r="D147" s="227">
        <f t="shared" si="79"/>
        <v>0</v>
      </c>
      <c r="E147" s="227">
        <f t="shared" si="79"/>
        <v>0</v>
      </c>
      <c r="F147" s="227">
        <f t="shared" si="79"/>
        <v>4992</v>
      </c>
      <c r="G147" s="227">
        <f t="shared" si="79"/>
        <v>0</v>
      </c>
      <c r="H147" s="227">
        <f t="shared" si="79"/>
        <v>0</v>
      </c>
      <c r="I147" s="227">
        <f t="shared" si="79"/>
        <v>9350</v>
      </c>
      <c r="J147" s="227">
        <f t="shared" si="79"/>
        <v>0</v>
      </c>
      <c r="K147" s="227">
        <f t="shared" si="79"/>
        <v>0</v>
      </c>
      <c r="L147" s="227">
        <f t="shared" si="79"/>
        <v>42340</v>
      </c>
      <c r="M147" s="227">
        <f t="shared" si="79"/>
        <v>0</v>
      </c>
      <c r="N147" s="227">
        <f t="shared" si="79"/>
        <v>0</v>
      </c>
      <c r="O147" s="225">
        <f t="shared" ref="O147:O155" si="80">SUM(C147:N147)</f>
        <v>56682</v>
      </c>
    </row>
    <row r="148" spans="1:16">
      <c r="A148" s="226" t="s">
        <v>44</v>
      </c>
      <c r="B148" s="227">
        <f t="shared" ref="B148:N148" si="81">SUM(B149:B149)</f>
        <v>30600</v>
      </c>
      <c r="C148" s="227">
        <f t="shared" si="81"/>
        <v>0</v>
      </c>
      <c r="D148" s="227">
        <f t="shared" si="81"/>
        <v>0</v>
      </c>
      <c r="E148" s="227">
        <f t="shared" si="81"/>
        <v>0</v>
      </c>
      <c r="F148" s="227">
        <f t="shared" si="81"/>
        <v>4992</v>
      </c>
      <c r="G148" s="227">
        <f t="shared" si="81"/>
        <v>0</v>
      </c>
      <c r="H148" s="227">
        <f t="shared" si="81"/>
        <v>0</v>
      </c>
      <c r="I148" s="227">
        <f t="shared" si="81"/>
        <v>5100</v>
      </c>
      <c r="J148" s="227">
        <f t="shared" si="81"/>
        <v>0</v>
      </c>
      <c r="K148" s="227">
        <f t="shared" si="81"/>
        <v>0</v>
      </c>
      <c r="L148" s="227">
        <f t="shared" si="81"/>
        <v>7650</v>
      </c>
      <c r="M148" s="227">
        <f t="shared" si="81"/>
        <v>0</v>
      </c>
      <c r="N148" s="227">
        <f t="shared" si="81"/>
        <v>0</v>
      </c>
      <c r="O148" s="234">
        <f t="shared" si="80"/>
        <v>17742</v>
      </c>
    </row>
    <row r="149" spans="1:16">
      <c r="A149" s="163" t="s">
        <v>28</v>
      </c>
      <c r="B149" s="164">
        <v>30600</v>
      </c>
      <c r="C149" s="164"/>
      <c r="D149" s="164"/>
      <c r="E149" s="164"/>
      <c r="F149" s="164">
        <v>4992</v>
      </c>
      <c r="G149" s="164"/>
      <c r="H149" s="164"/>
      <c r="I149" s="164">
        <v>5100</v>
      </c>
      <c r="J149" s="164"/>
      <c r="K149" s="164"/>
      <c r="L149" s="164">
        <v>7650</v>
      </c>
      <c r="M149" s="164"/>
      <c r="N149" s="165"/>
      <c r="O149" s="166">
        <f t="shared" si="80"/>
        <v>17742</v>
      </c>
    </row>
    <row r="150" spans="1:16">
      <c r="A150" s="226" t="s">
        <v>46</v>
      </c>
      <c r="B150" s="227">
        <f t="shared" ref="B150:N150" si="82">SUM(B151:B151)</f>
        <v>38940</v>
      </c>
      <c r="C150" s="227">
        <f t="shared" si="82"/>
        <v>0</v>
      </c>
      <c r="D150" s="227">
        <f t="shared" si="82"/>
        <v>0</v>
      </c>
      <c r="E150" s="227">
        <f t="shared" si="82"/>
        <v>0</v>
      </c>
      <c r="F150" s="227">
        <f t="shared" si="82"/>
        <v>0</v>
      </c>
      <c r="G150" s="227">
        <f t="shared" si="82"/>
        <v>0</v>
      </c>
      <c r="H150" s="227">
        <f t="shared" si="82"/>
        <v>0</v>
      </c>
      <c r="I150" s="227">
        <f t="shared" si="82"/>
        <v>4250</v>
      </c>
      <c r="J150" s="227">
        <f t="shared" si="82"/>
        <v>0</v>
      </c>
      <c r="K150" s="227">
        <f t="shared" si="82"/>
        <v>0</v>
      </c>
      <c r="L150" s="227">
        <f t="shared" si="82"/>
        <v>34690</v>
      </c>
      <c r="M150" s="227">
        <f t="shared" si="82"/>
        <v>0</v>
      </c>
      <c r="N150" s="227">
        <f t="shared" si="82"/>
        <v>0</v>
      </c>
      <c r="O150" s="234">
        <f t="shared" si="80"/>
        <v>38940</v>
      </c>
    </row>
    <row r="151" spans="1:16">
      <c r="A151" s="163" t="s">
        <v>28</v>
      </c>
      <c r="B151" s="164">
        <v>38940</v>
      </c>
      <c r="C151" s="164"/>
      <c r="D151" s="164"/>
      <c r="E151" s="164"/>
      <c r="F151" s="164"/>
      <c r="G151" s="164"/>
      <c r="H151" s="164"/>
      <c r="I151" s="164">
        <v>4250</v>
      </c>
      <c r="J151" s="164"/>
      <c r="K151" s="164"/>
      <c r="L151" s="164">
        <v>34690</v>
      </c>
      <c r="M151" s="164"/>
      <c r="N151" s="165"/>
      <c r="O151" s="166">
        <f t="shared" si="80"/>
        <v>38940</v>
      </c>
    </row>
    <row r="152" spans="1:16">
      <c r="A152" s="226" t="s">
        <v>53</v>
      </c>
      <c r="B152" s="227">
        <f>SUM(B153:B154)</f>
        <v>91342</v>
      </c>
      <c r="C152" s="227">
        <f t="shared" ref="C152" si="83">SUM(C153:C154)</f>
        <v>2956</v>
      </c>
      <c r="D152" s="227">
        <f t="shared" ref="D152" si="84">SUM(D153:D154)</f>
        <v>2918</v>
      </c>
      <c r="E152" s="227">
        <f t="shared" ref="E152" si="85">SUM(E153:E154)</f>
        <v>8000</v>
      </c>
      <c r="F152" s="227">
        <f t="shared" ref="F152" si="86">SUM(F153:F154)</f>
        <v>3000</v>
      </c>
      <c r="G152" s="227">
        <f t="shared" ref="G152" si="87">SUM(G153:G154)</f>
        <v>3000</v>
      </c>
      <c r="H152" s="227">
        <f t="shared" ref="H152" si="88">SUM(H153:H154)</f>
        <v>3000</v>
      </c>
      <c r="I152" s="227">
        <f t="shared" ref="I152" si="89">SUM(I153:I154)</f>
        <v>3000</v>
      </c>
      <c r="J152" s="227">
        <f t="shared" ref="J152" si="90">SUM(J153:J154)</f>
        <v>3000</v>
      </c>
      <c r="K152" s="227">
        <f t="shared" ref="K152" si="91">SUM(K153:K154)</f>
        <v>3000</v>
      </c>
      <c r="L152" s="227">
        <f t="shared" ref="L152" si="92">SUM(L153:L154)</f>
        <v>3000</v>
      </c>
      <c r="M152" s="227">
        <f t="shared" ref="M152" si="93">SUM(M153:M154)</f>
        <v>53342</v>
      </c>
      <c r="N152" s="227">
        <f>SUM(N153:N154)</f>
        <v>3126</v>
      </c>
      <c r="O152" s="228">
        <f t="shared" si="80"/>
        <v>91342</v>
      </c>
    </row>
    <row r="153" spans="1:16">
      <c r="A153" s="219" t="s">
        <v>48</v>
      </c>
      <c r="B153" s="220">
        <v>36000</v>
      </c>
      <c r="C153" s="220">
        <v>2956</v>
      </c>
      <c r="D153" s="220">
        <v>2918</v>
      </c>
      <c r="E153" s="220">
        <v>3000</v>
      </c>
      <c r="F153" s="220">
        <v>3000</v>
      </c>
      <c r="G153" s="220">
        <v>3000</v>
      </c>
      <c r="H153" s="220">
        <v>3000</v>
      </c>
      <c r="I153" s="220">
        <v>3000</v>
      </c>
      <c r="J153" s="220">
        <v>3000</v>
      </c>
      <c r="K153" s="220">
        <v>3000</v>
      </c>
      <c r="L153" s="220">
        <v>3000</v>
      </c>
      <c r="M153" s="220">
        <v>3000</v>
      </c>
      <c r="N153" s="221">
        <v>3126</v>
      </c>
      <c r="O153" s="222">
        <f t="shared" si="80"/>
        <v>36000</v>
      </c>
    </row>
    <row r="154" spans="1:16">
      <c r="A154" s="219" t="s">
        <v>49</v>
      </c>
      <c r="B154" s="220">
        <v>55342</v>
      </c>
      <c r="C154" s="220"/>
      <c r="D154" s="220"/>
      <c r="E154" s="220">
        <v>5000</v>
      </c>
      <c r="F154" s="220"/>
      <c r="G154" s="220"/>
      <c r="H154" s="220"/>
      <c r="I154" s="220"/>
      <c r="J154" s="220"/>
      <c r="K154" s="220"/>
      <c r="L154" s="220"/>
      <c r="M154" s="220">
        <v>50342</v>
      </c>
      <c r="N154" s="221"/>
      <c r="O154" s="222">
        <f t="shared" si="80"/>
        <v>55342</v>
      </c>
    </row>
    <row r="155" spans="1:16" ht="15.75" thickBot="1">
      <c r="A155" s="235" t="s">
        <v>22</v>
      </c>
      <c r="B155" s="229">
        <f t="shared" ref="B155:N155" si="94">SUM(B147-B152)</f>
        <v>-21802</v>
      </c>
      <c r="C155" s="229">
        <f t="shared" si="94"/>
        <v>-2956</v>
      </c>
      <c r="D155" s="229">
        <f t="shared" si="94"/>
        <v>-2918</v>
      </c>
      <c r="E155" s="229">
        <f t="shared" si="94"/>
        <v>-8000</v>
      </c>
      <c r="F155" s="229">
        <f t="shared" si="94"/>
        <v>1992</v>
      </c>
      <c r="G155" s="229">
        <f t="shared" si="94"/>
        <v>-3000</v>
      </c>
      <c r="H155" s="229">
        <f t="shared" si="94"/>
        <v>-3000</v>
      </c>
      <c r="I155" s="229">
        <f t="shared" si="94"/>
        <v>6350</v>
      </c>
      <c r="J155" s="229">
        <f t="shared" si="94"/>
        <v>-3000</v>
      </c>
      <c r="K155" s="229">
        <f t="shared" si="94"/>
        <v>-3000</v>
      </c>
      <c r="L155" s="229">
        <f t="shared" si="94"/>
        <v>39340</v>
      </c>
      <c r="M155" s="229">
        <f t="shared" si="94"/>
        <v>-53342</v>
      </c>
      <c r="N155" s="229">
        <f t="shared" si="94"/>
        <v>-3126</v>
      </c>
      <c r="O155" s="230">
        <f t="shared" si="80"/>
        <v>-34660</v>
      </c>
      <c r="P155" s="100">
        <f>SUM(O155-B155)</f>
        <v>-12858</v>
      </c>
    </row>
    <row r="156" spans="1:16" ht="15.75" thickBot="1">
      <c r="A156" s="7" t="s">
        <v>3</v>
      </c>
      <c r="B156" s="8" t="s">
        <v>4</v>
      </c>
      <c r="C156" s="8" t="s">
        <v>5</v>
      </c>
      <c r="D156" s="8" t="s">
        <v>6</v>
      </c>
      <c r="E156" s="8" t="s">
        <v>7</v>
      </c>
      <c r="F156" s="8" t="s">
        <v>8</v>
      </c>
      <c r="G156" s="8" t="s">
        <v>9</v>
      </c>
      <c r="H156" s="8" t="s">
        <v>10</v>
      </c>
      <c r="I156" s="8" t="s">
        <v>11</v>
      </c>
      <c r="J156" s="8" t="s">
        <v>12</v>
      </c>
      <c r="K156" s="8" t="s">
        <v>13</v>
      </c>
      <c r="L156" s="8" t="s">
        <v>14</v>
      </c>
      <c r="M156" s="8" t="s">
        <v>15</v>
      </c>
      <c r="N156" s="12" t="s">
        <v>16</v>
      </c>
      <c r="O156" s="13" t="s">
        <v>23</v>
      </c>
    </row>
    <row r="157" spans="1:16">
      <c r="A157" s="290" t="s">
        <v>33</v>
      </c>
      <c r="B157" s="291"/>
      <c r="C157" s="291"/>
      <c r="D157" s="291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14"/>
    </row>
    <row r="158" spans="1:16">
      <c r="A158" s="284" t="s">
        <v>30</v>
      </c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6"/>
    </row>
    <row r="159" spans="1:16" ht="15.75" thickBot="1">
      <c r="A159" s="287" t="s">
        <v>18</v>
      </c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9"/>
    </row>
    <row r="160" spans="1:16">
      <c r="A160" s="15" t="s">
        <v>52</v>
      </c>
      <c r="B160" s="16">
        <f t="shared" ref="B160:N160" si="95">SUM(B161+B163)</f>
        <v>652111</v>
      </c>
      <c r="C160" s="16">
        <f t="shared" si="95"/>
        <v>0</v>
      </c>
      <c r="D160" s="16">
        <f t="shared" si="95"/>
        <v>0</v>
      </c>
      <c r="E160" s="16">
        <f t="shared" si="95"/>
        <v>0</v>
      </c>
      <c r="F160" s="16">
        <f t="shared" si="95"/>
        <v>0</v>
      </c>
      <c r="G160" s="16">
        <f t="shared" si="95"/>
        <v>0</v>
      </c>
      <c r="H160" s="16">
        <f t="shared" si="95"/>
        <v>0</v>
      </c>
      <c r="I160" s="16">
        <f t="shared" si="95"/>
        <v>528000</v>
      </c>
      <c r="J160" s="16">
        <f t="shared" si="95"/>
        <v>0</v>
      </c>
      <c r="K160" s="16">
        <f t="shared" si="95"/>
        <v>0</v>
      </c>
      <c r="L160" s="16">
        <f t="shared" si="95"/>
        <v>0</v>
      </c>
      <c r="M160" s="16">
        <f t="shared" si="95"/>
        <v>52244</v>
      </c>
      <c r="N160" s="16">
        <f t="shared" si="95"/>
        <v>0</v>
      </c>
      <c r="O160" s="17">
        <f t="shared" ref="O160:O168" si="96">SUM(C160:N160)</f>
        <v>580244</v>
      </c>
    </row>
    <row r="161" spans="1:16">
      <c r="A161" s="15" t="s">
        <v>44</v>
      </c>
      <c r="B161" s="16">
        <f t="shared" ref="B161:N161" si="97">SUM(B162:B162)</f>
        <v>312001</v>
      </c>
      <c r="C161" s="16">
        <f t="shared" si="97"/>
        <v>0</v>
      </c>
      <c r="D161" s="16">
        <f t="shared" si="97"/>
        <v>0</v>
      </c>
      <c r="E161" s="16">
        <f t="shared" si="97"/>
        <v>0</v>
      </c>
      <c r="F161" s="16">
        <f t="shared" si="97"/>
        <v>0</v>
      </c>
      <c r="G161" s="16">
        <f t="shared" si="97"/>
        <v>0</v>
      </c>
      <c r="H161" s="16">
        <f t="shared" si="97"/>
        <v>0</v>
      </c>
      <c r="I161" s="16">
        <f t="shared" si="97"/>
        <v>187890</v>
      </c>
      <c r="J161" s="16">
        <f t="shared" si="97"/>
        <v>0</v>
      </c>
      <c r="K161" s="16">
        <f t="shared" si="97"/>
        <v>0</v>
      </c>
      <c r="L161" s="16">
        <f t="shared" si="97"/>
        <v>0</v>
      </c>
      <c r="M161" s="16">
        <f t="shared" si="97"/>
        <v>52244</v>
      </c>
      <c r="N161" s="16">
        <f t="shared" si="97"/>
        <v>0</v>
      </c>
      <c r="O161" s="31">
        <f t="shared" si="96"/>
        <v>240134</v>
      </c>
    </row>
    <row r="162" spans="1:16">
      <c r="A162" s="18" t="s">
        <v>28</v>
      </c>
      <c r="B162" s="19">
        <v>312001</v>
      </c>
      <c r="C162" s="19"/>
      <c r="D162" s="19"/>
      <c r="E162" s="19"/>
      <c r="F162" s="19"/>
      <c r="G162" s="19"/>
      <c r="H162" s="19"/>
      <c r="I162" s="19">
        <v>187890</v>
      </c>
      <c r="J162" s="19"/>
      <c r="K162" s="19"/>
      <c r="L162" s="19"/>
      <c r="M162" s="19">
        <v>52244</v>
      </c>
      <c r="N162" s="20"/>
      <c r="O162" s="21">
        <f t="shared" si="96"/>
        <v>240134</v>
      </c>
    </row>
    <row r="163" spans="1:16">
      <c r="A163" s="15" t="s">
        <v>46</v>
      </c>
      <c r="B163" s="16">
        <f t="shared" ref="B163:N163" si="98">SUM(B164:B164)</f>
        <v>340110</v>
      </c>
      <c r="C163" s="16">
        <f t="shared" si="98"/>
        <v>0</v>
      </c>
      <c r="D163" s="16">
        <f t="shared" si="98"/>
        <v>0</v>
      </c>
      <c r="E163" s="16">
        <f t="shared" si="98"/>
        <v>0</v>
      </c>
      <c r="F163" s="16">
        <f t="shared" si="98"/>
        <v>0</v>
      </c>
      <c r="G163" s="16">
        <f t="shared" si="98"/>
        <v>0</v>
      </c>
      <c r="H163" s="16">
        <f t="shared" si="98"/>
        <v>0</v>
      </c>
      <c r="I163" s="16">
        <f t="shared" si="98"/>
        <v>340110</v>
      </c>
      <c r="J163" s="16">
        <f t="shared" si="98"/>
        <v>0</v>
      </c>
      <c r="K163" s="16">
        <f t="shared" si="98"/>
        <v>0</v>
      </c>
      <c r="L163" s="16">
        <f t="shared" si="98"/>
        <v>0</v>
      </c>
      <c r="M163" s="16">
        <f t="shared" si="98"/>
        <v>0</v>
      </c>
      <c r="N163" s="16">
        <f t="shared" si="98"/>
        <v>0</v>
      </c>
      <c r="O163" s="31">
        <f t="shared" si="96"/>
        <v>340110</v>
      </c>
    </row>
    <row r="164" spans="1:16">
      <c r="A164" s="18" t="s">
        <v>28</v>
      </c>
      <c r="B164" s="19">
        <v>340110</v>
      </c>
      <c r="C164" s="19"/>
      <c r="D164" s="19"/>
      <c r="E164" s="19"/>
      <c r="F164" s="19"/>
      <c r="G164" s="19"/>
      <c r="H164" s="19"/>
      <c r="I164" s="19">
        <v>340110</v>
      </c>
      <c r="J164" s="19"/>
      <c r="K164" s="19"/>
      <c r="L164" s="19"/>
      <c r="M164" s="19"/>
      <c r="N164" s="20"/>
      <c r="O164" s="21">
        <f t="shared" si="96"/>
        <v>340110</v>
      </c>
    </row>
    <row r="165" spans="1:16">
      <c r="A165" s="15" t="s">
        <v>53</v>
      </c>
      <c r="B165" s="16">
        <f>SUM(B166:B167)</f>
        <v>939849</v>
      </c>
      <c r="C165" s="16">
        <f t="shared" ref="C165" si="99">SUM(C166:C167)</f>
        <v>0</v>
      </c>
      <c r="D165" s="16">
        <f t="shared" ref="D165" si="100">SUM(D166:D167)</f>
        <v>0</v>
      </c>
      <c r="E165" s="16">
        <f t="shared" ref="E165" si="101">SUM(E166:E167)</f>
        <v>0</v>
      </c>
      <c r="F165" s="16">
        <f t="shared" ref="F165" si="102">SUM(F166:F167)</f>
        <v>0</v>
      </c>
      <c r="G165" s="16">
        <f t="shared" ref="G165" si="103">SUM(G166:G167)</f>
        <v>5904</v>
      </c>
      <c r="H165" s="16">
        <f t="shared" ref="H165" si="104">SUM(H166:H167)</f>
        <v>9836</v>
      </c>
      <c r="I165" s="16">
        <f t="shared" ref="I165" si="105">SUM(I166:I167)</f>
        <v>693972</v>
      </c>
      <c r="J165" s="16">
        <f t="shared" ref="J165" si="106">SUM(J166:J167)</f>
        <v>127405</v>
      </c>
      <c r="K165" s="16">
        <f t="shared" ref="K165" si="107">SUM(K166:K167)</f>
        <v>0</v>
      </c>
      <c r="L165" s="16">
        <f t="shared" ref="L165" si="108">SUM(L166:L167)</f>
        <v>42189</v>
      </c>
      <c r="M165" s="16">
        <f t="shared" ref="M165" si="109">SUM(M166:M167)</f>
        <v>60543</v>
      </c>
      <c r="N165" s="16">
        <f>SUM(N166:N167)</f>
        <v>0</v>
      </c>
      <c r="O165" s="22">
        <f t="shared" si="96"/>
        <v>939849</v>
      </c>
    </row>
    <row r="166" spans="1:16">
      <c r="A166" s="23" t="s">
        <v>48</v>
      </c>
      <c r="B166" s="24">
        <v>447689</v>
      </c>
      <c r="C166" s="24"/>
      <c r="D166" s="24"/>
      <c r="E166" s="24"/>
      <c r="F166" s="24"/>
      <c r="G166" s="24">
        <v>5904</v>
      </c>
      <c r="H166" s="24">
        <v>9836</v>
      </c>
      <c r="I166" s="24">
        <v>201812</v>
      </c>
      <c r="J166" s="24">
        <v>127405</v>
      </c>
      <c r="K166" s="24"/>
      <c r="L166" s="24">
        <v>42189</v>
      </c>
      <c r="M166" s="24">
        <v>60543</v>
      </c>
      <c r="N166" s="25"/>
      <c r="O166" s="26">
        <f t="shared" si="96"/>
        <v>447689</v>
      </c>
    </row>
    <row r="167" spans="1:16">
      <c r="A167" s="23" t="s">
        <v>49</v>
      </c>
      <c r="B167" s="24">
        <v>492160</v>
      </c>
      <c r="C167" s="24"/>
      <c r="D167" s="24"/>
      <c r="E167" s="24"/>
      <c r="F167" s="24"/>
      <c r="G167" s="24"/>
      <c r="H167" s="24"/>
      <c r="I167" s="24">
        <v>492160</v>
      </c>
      <c r="J167" s="24"/>
      <c r="K167" s="24"/>
      <c r="L167" s="24"/>
      <c r="M167" s="24"/>
      <c r="N167" s="25"/>
      <c r="O167" s="26">
        <f t="shared" si="96"/>
        <v>492160</v>
      </c>
    </row>
    <row r="168" spans="1:16" ht="15.75" thickBot="1">
      <c r="A168" s="27" t="s">
        <v>22</v>
      </c>
      <c r="B168" s="28">
        <f t="shared" ref="B168:N168" si="110">SUM(B160-B165)</f>
        <v>-287738</v>
      </c>
      <c r="C168" s="28">
        <f t="shared" si="110"/>
        <v>0</v>
      </c>
      <c r="D168" s="28">
        <f t="shared" si="110"/>
        <v>0</v>
      </c>
      <c r="E168" s="28">
        <f t="shared" si="110"/>
        <v>0</v>
      </c>
      <c r="F168" s="28">
        <f t="shared" si="110"/>
        <v>0</v>
      </c>
      <c r="G168" s="28">
        <f t="shared" si="110"/>
        <v>-5904</v>
      </c>
      <c r="H168" s="28">
        <f t="shared" si="110"/>
        <v>-9836</v>
      </c>
      <c r="I168" s="28">
        <f t="shared" si="110"/>
        <v>-165972</v>
      </c>
      <c r="J168" s="28">
        <f t="shared" si="110"/>
        <v>-127405</v>
      </c>
      <c r="K168" s="28">
        <f t="shared" si="110"/>
        <v>0</v>
      </c>
      <c r="L168" s="28">
        <f t="shared" si="110"/>
        <v>-42189</v>
      </c>
      <c r="M168" s="28">
        <f t="shared" si="110"/>
        <v>-8299</v>
      </c>
      <c r="N168" s="28">
        <f t="shared" si="110"/>
        <v>0</v>
      </c>
      <c r="O168" s="30">
        <f t="shared" si="96"/>
        <v>-359605</v>
      </c>
      <c r="P168" s="100">
        <f>SUM(O168-B168)</f>
        <v>-71867</v>
      </c>
    </row>
    <row r="169" spans="1:16" ht="15.75" thickBot="1">
      <c r="A169" s="7" t="s">
        <v>3</v>
      </c>
      <c r="B169" s="8" t="s">
        <v>4</v>
      </c>
      <c r="C169" s="8" t="s">
        <v>5</v>
      </c>
      <c r="D169" s="8" t="s">
        <v>6</v>
      </c>
      <c r="E169" s="8" t="s">
        <v>7</v>
      </c>
      <c r="F169" s="8" t="s">
        <v>8</v>
      </c>
      <c r="G169" s="8" t="s">
        <v>9</v>
      </c>
      <c r="H169" s="8" t="s">
        <v>10</v>
      </c>
      <c r="I169" s="8" t="s">
        <v>11</v>
      </c>
      <c r="J169" s="8" t="s">
        <v>12</v>
      </c>
      <c r="K169" s="8" t="s">
        <v>13</v>
      </c>
      <c r="L169" s="8" t="s">
        <v>14</v>
      </c>
      <c r="M169" s="8" t="s">
        <v>15</v>
      </c>
      <c r="N169" s="12" t="s">
        <v>16</v>
      </c>
      <c r="O169" s="13" t="s">
        <v>23</v>
      </c>
    </row>
    <row r="170" spans="1:16">
      <c r="A170" s="290" t="s">
        <v>33</v>
      </c>
      <c r="B170" s="291"/>
      <c r="C170" s="291"/>
      <c r="D170" s="291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14"/>
    </row>
    <row r="171" spans="1:16" ht="36.75" customHeight="1">
      <c r="A171" s="296" t="s">
        <v>235</v>
      </c>
      <c r="B171" s="297"/>
      <c r="C171" s="297"/>
      <c r="D171" s="297"/>
      <c r="E171" s="297"/>
      <c r="F171" s="297"/>
      <c r="G171" s="297"/>
      <c r="H171" s="297"/>
      <c r="I171" s="297"/>
      <c r="J171" s="297"/>
      <c r="K171" s="297"/>
      <c r="L171" s="297"/>
      <c r="M171" s="297"/>
      <c r="N171" s="297"/>
      <c r="O171" s="298"/>
    </row>
    <row r="172" spans="1:16" ht="15.75" thickBot="1">
      <c r="A172" s="287" t="s">
        <v>18</v>
      </c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  <c r="O172" s="289"/>
    </row>
    <row r="173" spans="1:16">
      <c r="A173" s="15" t="s">
        <v>52</v>
      </c>
      <c r="B173" s="16">
        <f t="shared" ref="B173:N173" si="111">SUM(B174+B176)</f>
        <v>26523</v>
      </c>
      <c r="C173" s="16">
        <f t="shared" si="111"/>
        <v>0</v>
      </c>
      <c r="D173" s="16">
        <f t="shared" si="111"/>
        <v>0</v>
      </c>
      <c r="E173" s="16">
        <f t="shared" si="111"/>
        <v>0</v>
      </c>
      <c r="F173" s="16">
        <f t="shared" si="111"/>
        <v>0</v>
      </c>
      <c r="G173" s="16">
        <f t="shared" si="111"/>
        <v>0</v>
      </c>
      <c r="H173" s="16">
        <f t="shared" si="111"/>
        <v>0</v>
      </c>
      <c r="I173" s="16">
        <f t="shared" si="111"/>
        <v>0</v>
      </c>
      <c r="J173" s="16">
        <f t="shared" si="111"/>
        <v>0</v>
      </c>
      <c r="K173" s="16">
        <f t="shared" si="111"/>
        <v>8886</v>
      </c>
      <c r="L173" s="16">
        <f t="shared" si="111"/>
        <v>0</v>
      </c>
      <c r="M173" s="16">
        <f t="shared" si="111"/>
        <v>0</v>
      </c>
      <c r="N173" s="16">
        <f t="shared" si="111"/>
        <v>17637</v>
      </c>
      <c r="O173" s="17">
        <f t="shared" ref="O173:O181" si="112">SUM(C173:N173)</f>
        <v>26523</v>
      </c>
    </row>
    <row r="174" spans="1:16">
      <c r="A174" s="15" t="s">
        <v>44</v>
      </c>
      <c r="B174" s="16">
        <f t="shared" ref="B174:N174" si="113">SUM(B175:B175)</f>
        <v>24692</v>
      </c>
      <c r="C174" s="16">
        <f t="shared" si="113"/>
        <v>0</v>
      </c>
      <c r="D174" s="16">
        <f t="shared" si="113"/>
        <v>0</v>
      </c>
      <c r="E174" s="16">
        <f t="shared" si="113"/>
        <v>0</v>
      </c>
      <c r="F174" s="16">
        <f t="shared" si="113"/>
        <v>0</v>
      </c>
      <c r="G174" s="16">
        <f t="shared" si="113"/>
        <v>0</v>
      </c>
      <c r="H174" s="16">
        <f t="shared" si="113"/>
        <v>0</v>
      </c>
      <c r="I174" s="16">
        <f t="shared" si="113"/>
        <v>0</v>
      </c>
      <c r="J174" s="16">
        <f t="shared" si="113"/>
        <v>0</v>
      </c>
      <c r="K174" s="16">
        <f t="shared" si="113"/>
        <v>7055</v>
      </c>
      <c r="L174" s="16">
        <f t="shared" si="113"/>
        <v>0</v>
      </c>
      <c r="M174" s="16">
        <f t="shared" si="113"/>
        <v>0</v>
      </c>
      <c r="N174" s="16">
        <f t="shared" si="113"/>
        <v>17637</v>
      </c>
      <c r="O174" s="31">
        <f t="shared" si="112"/>
        <v>24692</v>
      </c>
    </row>
    <row r="175" spans="1:16">
      <c r="A175" s="18" t="s">
        <v>28</v>
      </c>
      <c r="B175" s="19">
        <v>24692</v>
      </c>
      <c r="C175" s="19"/>
      <c r="D175" s="19"/>
      <c r="E175" s="19"/>
      <c r="F175" s="19"/>
      <c r="G175" s="19"/>
      <c r="H175" s="19"/>
      <c r="I175" s="19"/>
      <c r="J175" s="19"/>
      <c r="K175" s="19">
        <v>7055</v>
      </c>
      <c r="L175" s="19"/>
      <c r="M175" s="19"/>
      <c r="N175" s="20">
        <v>17637</v>
      </c>
      <c r="O175" s="21">
        <f t="shared" si="112"/>
        <v>24692</v>
      </c>
    </row>
    <row r="176" spans="1:16">
      <c r="A176" s="15" t="s">
        <v>46</v>
      </c>
      <c r="B176" s="16">
        <f t="shared" ref="B176:N176" si="114">SUM(B177:B177)</f>
        <v>1831</v>
      </c>
      <c r="C176" s="16">
        <f t="shared" si="114"/>
        <v>0</v>
      </c>
      <c r="D176" s="16">
        <f t="shared" si="114"/>
        <v>0</v>
      </c>
      <c r="E176" s="16">
        <f t="shared" si="114"/>
        <v>0</v>
      </c>
      <c r="F176" s="16">
        <f t="shared" si="114"/>
        <v>0</v>
      </c>
      <c r="G176" s="16">
        <f t="shared" si="114"/>
        <v>0</v>
      </c>
      <c r="H176" s="16">
        <f t="shared" si="114"/>
        <v>0</v>
      </c>
      <c r="I176" s="16">
        <f t="shared" si="114"/>
        <v>0</v>
      </c>
      <c r="J176" s="16">
        <f t="shared" si="114"/>
        <v>0</v>
      </c>
      <c r="K176" s="16">
        <f t="shared" si="114"/>
        <v>1831</v>
      </c>
      <c r="L176" s="16">
        <f t="shared" si="114"/>
        <v>0</v>
      </c>
      <c r="M176" s="16">
        <f t="shared" si="114"/>
        <v>0</v>
      </c>
      <c r="N176" s="16">
        <f t="shared" si="114"/>
        <v>0</v>
      </c>
      <c r="O176" s="31">
        <f t="shared" si="112"/>
        <v>1831</v>
      </c>
    </row>
    <row r="177" spans="1:15">
      <c r="A177" s="18" t="s">
        <v>28</v>
      </c>
      <c r="B177" s="19">
        <v>1831</v>
      </c>
      <c r="C177" s="19"/>
      <c r="D177" s="19"/>
      <c r="E177" s="19"/>
      <c r="F177" s="19"/>
      <c r="G177" s="19"/>
      <c r="H177" s="19"/>
      <c r="I177" s="19"/>
      <c r="J177" s="19"/>
      <c r="K177" s="19">
        <v>1831</v>
      </c>
      <c r="L177" s="19"/>
      <c r="M177" s="19"/>
      <c r="N177" s="20"/>
      <c r="O177" s="21">
        <f t="shared" si="112"/>
        <v>1831</v>
      </c>
    </row>
    <row r="178" spans="1:15">
      <c r="A178" s="15" t="s">
        <v>53</v>
      </c>
      <c r="B178" s="16">
        <f>SUM(B179:B180)</f>
        <v>737532</v>
      </c>
      <c r="C178" s="16">
        <f t="shared" ref="C178:M178" si="115">SUM(C179:C180)</f>
        <v>0</v>
      </c>
      <c r="D178" s="16">
        <f t="shared" si="115"/>
        <v>0</v>
      </c>
      <c r="E178" s="16">
        <f t="shared" si="115"/>
        <v>71648</v>
      </c>
      <c r="F178" s="16">
        <f t="shared" si="115"/>
        <v>0</v>
      </c>
      <c r="G178" s="16">
        <f t="shared" si="115"/>
        <v>0</v>
      </c>
      <c r="H178" s="16">
        <f t="shared" si="115"/>
        <v>4533</v>
      </c>
      <c r="I178" s="16">
        <f t="shared" si="115"/>
        <v>4533</v>
      </c>
      <c r="J178" s="16">
        <f t="shared" si="115"/>
        <v>4533</v>
      </c>
      <c r="K178" s="16">
        <f t="shared" si="115"/>
        <v>638681</v>
      </c>
      <c r="L178" s="16">
        <f t="shared" si="115"/>
        <v>4533</v>
      </c>
      <c r="M178" s="16">
        <f t="shared" si="115"/>
        <v>4533</v>
      </c>
      <c r="N178" s="16">
        <f>SUM(N179:N180)</f>
        <v>4538</v>
      </c>
      <c r="O178" s="22">
        <f t="shared" si="112"/>
        <v>737532</v>
      </c>
    </row>
    <row r="179" spans="1:15">
      <c r="A179" s="23" t="s">
        <v>48</v>
      </c>
      <c r="B179" s="24">
        <v>31736</v>
      </c>
      <c r="C179" s="24"/>
      <c r="D179" s="24"/>
      <c r="E179" s="24"/>
      <c r="F179" s="24"/>
      <c r="G179" s="24"/>
      <c r="H179" s="24">
        <v>4533</v>
      </c>
      <c r="I179" s="24">
        <v>4533</v>
      </c>
      <c r="J179" s="24">
        <v>4533</v>
      </c>
      <c r="K179" s="24">
        <v>4533</v>
      </c>
      <c r="L179" s="24">
        <v>4533</v>
      </c>
      <c r="M179" s="24">
        <v>4533</v>
      </c>
      <c r="N179" s="25">
        <v>4538</v>
      </c>
      <c r="O179" s="26">
        <f t="shared" si="112"/>
        <v>31736</v>
      </c>
    </row>
    <row r="180" spans="1:15">
      <c r="A180" s="23" t="s">
        <v>49</v>
      </c>
      <c r="B180" s="24">
        <v>705796</v>
      </c>
      <c r="C180" s="24"/>
      <c r="D180" s="24"/>
      <c r="E180" s="24">
        <v>71648</v>
      </c>
      <c r="F180" s="24"/>
      <c r="G180" s="24"/>
      <c r="H180" s="24"/>
      <c r="I180" s="24"/>
      <c r="J180" s="24"/>
      <c r="K180" s="24">
        <v>634148</v>
      </c>
      <c r="L180" s="24"/>
      <c r="M180" s="24"/>
      <c r="N180" s="25"/>
      <c r="O180" s="26">
        <f t="shared" si="112"/>
        <v>705796</v>
      </c>
    </row>
    <row r="181" spans="1:15" ht="15.75" thickBot="1">
      <c r="A181" s="27" t="s">
        <v>22</v>
      </c>
      <c r="B181" s="28">
        <f t="shared" ref="B181:N181" si="116">SUM(B173-B178)</f>
        <v>-711009</v>
      </c>
      <c r="C181" s="28">
        <f t="shared" si="116"/>
        <v>0</v>
      </c>
      <c r="D181" s="28">
        <f t="shared" si="116"/>
        <v>0</v>
      </c>
      <c r="E181" s="28">
        <f t="shared" si="116"/>
        <v>-71648</v>
      </c>
      <c r="F181" s="28">
        <f t="shared" si="116"/>
        <v>0</v>
      </c>
      <c r="G181" s="28">
        <f t="shared" si="116"/>
        <v>0</v>
      </c>
      <c r="H181" s="28">
        <f t="shared" si="116"/>
        <v>-4533</v>
      </c>
      <c r="I181" s="28">
        <f t="shared" si="116"/>
        <v>-4533</v>
      </c>
      <c r="J181" s="28">
        <f t="shared" si="116"/>
        <v>-4533</v>
      </c>
      <c r="K181" s="28">
        <f t="shared" si="116"/>
        <v>-629795</v>
      </c>
      <c r="L181" s="28">
        <f t="shared" si="116"/>
        <v>-4533</v>
      </c>
      <c r="M181" s="28">
        <f t="shared" si="116"/>
        <v>-4533</v>
      </c>
      <c r="N181" s="28">
        <f t="shared" si="116"/>
        <v>13099</v>
      </c>
      <c r="O181" s="30">
        <f t="shared" si="112"/>
        <v>-711009</v>
      </c>
    </row>
    <row r="183" spans="1:15" hidden="1">
      <c r="B183" s="100">
        <f>SUM(B12+B21+B30+B39+B49+B69+B80+B94+B104+B114+B124+B135+B148+B161+B174)</f>
        <v>3297800</v>
      </c>
      <c r="C183" s="100">
        <f t="shared" ref="C183:O183" si="117">SUM(C12+C21+C30+C39+C49+C69+C80+C94+C104+C114+C124+C135+C148+C161+C174)</f>
        <v>473372</v>
      </c>
      <c r="D183" s="100">
        <f t="shared" si="117"/>
        <v>529371</v>
      </c>
      <c r="E183" s="100">
        <f t="shared" si="117"/>
        <v>416993</v>
      </c>
      <c r="F183" s="100">
        <f t="shared" si="117"/>
        <v>5974</v>
      </c>
      <c r="G183" s="100">
        <f t="shared" si="117"/>
        <v>504233</v>
      </c>
      <c r="H183" s="100">
        <f t="shared" si="117"/>
        <v>13150</v>
      </c>
      <c r="I183" s="100">
        <f t="shared" si="117"/>
        <v>301930</v>
      </c>
      <c r="J183" s="100">
        <f t="shared" si="117"/>
        <v>123021</v>
      </c>
      <c r="K183" s="100">
        <f t="shared" si="117"/>
        <v>39509</v>
      </c>
      <c r="L183" s="100">
        <f t="shared" si="117"/>
        <v>99070</v>
      </c>
      <c r="M183" s="100">
        <f t="shared" si="117"/>
        <v>77101</v>
      </c>
      <c r="N183" s="100">
        <f t="shared" si="117"/>
        <v>616601</v>
      </c>
      <c r="O183" s="100">
        <f t="shared" si="117"/>
        <v>3200325</v>
      </c>
    </row>
    <row r="184" spans="1:15" hidden="1"/>
    <row r="185" spans="1:15" hidden="1">
      <c r="B185" s="100">
        <f>SUM(B179+B166+B153+B140+B128+B118+B108+B98+B87+B73+B62+B42+B33+B24+B15)</f>
        <v>3650308</v>
      </c>
      <c r="C185" s="100">
        <f t="shared" ref="C185:O185" si="118">SUM(C179+C166+C153+C140+C128+C118+C108+C98+C87+C73+C62+C42+C33+C24+C15)</f>
        <v>183884.15</v>
      </c>
      <c r="D185" s="100">
        <f t="shared" si="118"/>
        <v>212714.02000000002</v>
      </c>
      <c r="E185" s="100">
        <f t="shared" si="118"/>
        <v>554022</v>
      </c>
      <c r="F185" s="100">
        <f t="shared" si="118"/>
        <v>186687</v>
      </c>
      <c r="G185" s="100">
        <f t="shared" si="118"/>
        <v>256402</v>
      </c>
      <c r="H185" s="100">
        <f t="shared" si="118"/>
        <v>101507</v>
      </c>
      <c r="I185" s="100">
        <f t="shared" si="118"/>
        <v>553440</v>
      </c>
      <c r="J185" s="100">
        <f t="shared" si="118"/>
        <v>417153</v>
      </c>
      <c r="K185" s="100">
        <f t="shared" si="118"/>
        <v>83195</v>
      </c>
      <c r="L185" s="100">
        <f t="shared" si="118"/>
        <v>373263</v>
      </c>
      <c r="M185" s="100">
        <f t="shared" si="118"/>
        <v>414283</v>
      </c>
      <c r="N185" s="100">
        <f t="shared" si="118"/>
        <v>313758</v>
      </c>
      <c r="O185" s="100">
        <f t="shared" si="118"/>
        <v>3650308.17</v>
      </c>
    </row>
    <row r="186" spans="1:15" hidden="1"/>
  </sheetData>
  <mergeCells count="46">
    <mergeCell ref="A159:O159"/>
    <mergeCell ref="A133:O133"/>
    <mergeCell ref="A144:N144"/>
    <mergeCell ref="A145:O145"/>
    <mergeCell ref="A146:O146"/>
    <mergeCell ref="A157:N157"/>
    <mergeCell ref="A158:O158"/>
    <mergeCell ref="A91:N91"/>
    <mergeCell ref="A132:O132"/>
    <mergeCell ref="A93:O93"/>
    <mergeCell ref="A101:N101"/>
    <mergeCell ref="A102:O102"/>
    <mergeCell ref="A103:O103"/>
    <mergeCell ref="A111:N111"/>
    <mergeCell ref="A112:O112"/>
    <mergeCell ref="A113:O113"/>
    <mergeCell ref="A121:N121"/>
    <mergeCell ref="A122:O122"/>
    <mergeCell ref="A123:O123"/>
    <mergeCell ref="A131:N131"/>
    <mergeCell ref="A67:O67"/>
    <mergeCell ref="A68:O68"/>
    <mergeCell ref="A76:N76"/>
    <mergeCell ref="A77:O77"/>
    <mergeCell ref="A78:O78"/>
    <mergeCell ref="A38:O38"/>
    <mergeCell ref="A45:N45"/>
    <mergeCell ref="A46:O46"/>
    <mergeCell ref="A47:O47"/>
    <mergeCell ref="A66:N66"/>
    <mergeCell ref="A170:N170"/>
    <mergeCell ref="A171:O171"/>
    <mergeCell ref="A172:O172"/>
    <mergeCell ref="A37:O37"/>
    <mergeCell ref="A6:O6"/>
    <mergeCell ref="A9:N9"/>
    <mergeCell ref="A10:O10"/>
    <mergeCell ref="A11:O11"/>
    <mergeCell ref="A18:N18"/>
    <mergeCell ref="A19:O19"/>
    <mergeCell ref="A20:O20"/>
    <mergeCell ref="A27:N27"/>
    <mergeCell ref="A28:O28"/>
    <mergeCell ref="A29:O29"/>
    <mergeCell ref="A36:N36"/>
    <mergeCell ref="A92:O92"/>
  </mergeCells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5"/>
  <sheetViews>
    <sheetView workbookViewId="0">
      <selection sqref="A1:N14"/>
    </sheetView>
  </sheetViews>
  <sheetFormatPr defaultRowHeight="15"/>
  <cols>
    <col min="1" max="1" width="29.85546875" customWidth="1"/>
  </cols>
  <sheetData>
    <row r="2" spans="1:14">
      <c r="J2" s="6" t="s">
        <v>237</v>
      </c>
    </row>
    <row r="3" spans="1:14">
      <c r="J3" s="5" t="s">
        <v>0</v>
      </c>
    </row>
    <row r="4" spans="1:14">
      <c r="J4" s="5" t="s">
        <v>1</v>
      </c>
    </row>
    <row r="5" spans="1:14">
      <c r="J5" s="5" t="s">
        <v>2</v>
      </c>
    </row>
    <row r="6" spans="1:14" s="4" customFormat="1">
      <c r="J6" s="5"/>
    </row>
    <row r="7" spans="1:14" s="4" customFormat="1">
      <c r="A7" s="308" t="s">
        <v>236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</row>
    <row r="8" spans="1:14" s="4" customFormat="1" ht="15.75" thickBot="1">
      <c r="J8" s="5"/>
    </row>
    <row r="9" spans="1:14">
      <c r="A9" s="305" t="s">
        <v>238</v>
      </c>
      <c r="B9" s="263" t="s">
        <v>156</v>
      </c>
      <c r="C9" s="266" t="s">
        <v>63</v>
      </c>
      <c r="D9" s="269" t="s">
        <v>64</v>
      </c>
      <c r="E9" s="266" t="s">
        <v>65</v>
      </c>
      <c r="F9" s="269" t="s">
        <v>66</v>
      </c>
      <c r="G9" s="266" t="s">
        <v>67</v>
      </c>
      <c r="H9" s="269" t="s">
        <v>68</v>
      </c>
      <c r="I9" s="266" t="s">
        <v>69</v>
      </c>
      <c r="J9" s="269" t="s">
        <v>70</v>
      </c>
      <c r="K9" s="266" t="s">
        <v>71</v>
      </c>
      <c r="L9" s="269" t="s">
        <v>72</v>
      </c>
      <c r="M9" s="266" t="s">
        <v>73</v>
      </c>
      <c r="N9" s="266" t="s">
        <v>74</v>
      </c>
    </row>
    <row r="10" spans="1:14" ht="15" customHeight="1">
      <c r="A10" s="306"/>
      <c r="B10" s="264"/>
      <c r="C10" s="267"/>
      <c r="D10" s="270"/>
      <c r="E10" s="267"/>
      <c r="F10" s="270"/>
      <c r="G10" s="267"/>
      <c r="H10" s="270"/>
      <c r="I10" s="267"/>
      <c r="J10" s="270"/>
      <c r="K10" s="267"/>
      <c r="L10" s="270"/>
      <c r="M10" s="267"/>
      <c r="N10" s="267"/>
    </row>
    <row r="11" spans="1:14" ht="15.75" thickBot="1">
      <c r="A11" s="307"/>
      <c r="B11" s="265"/>
      <c r="C11" s="268"/>
      <c r="D11" s="271"/>
      <c r="E11" s="268"/>
      <c r="F11" s="271"/>
      <c r="G11" s="268"/>
      <c r="H11" s="271"/>
      <c r="I11" s="268"/>
      <c r="J11" s="271"/>
      <c r="K11" s="268"/>
      <c r="L11" s="271"/>
      <c r="M11" s="268"/>
      <c r="N11" s="268"/>
    </row>
    <row r="12" spans="1:14" ht="15.75" thickBot="1">
      <c r="A12" s="37">
        <v>2</v>
      </c>
      <c r="B12" s="39">
        <v>4</v>
      </c>
      <c r="C12" s="40">
        <v>5</v>
      </c>
      <c r="D12" s="41">
        <v>6</v>
      </c>
      <c r="E12" s="40">
        <v>7</v>
      </c>
      <c r="F12" s="41">
        <v>8</v>
      </c>
      <c r="G12" s="40">
        <v>9</v>
      </c>
      <c r="H12" s="41">
        <v>10</v>
      </c>
      <c r="I12" s="40">
        <v>11</v>
      </c>
      <c r="J12" s="41">
        <v>12</v>
      </c>
      <c r="K12" s="40">
        <v>13</v>
      </c>
      <c r="L12" s="41">
        <v>14</v>
      </c>
      <c r="M12" s="40">
        <v>15</v>
      </c>
      <c r="N12" s="40">
        <v>16</v>
      </c>
    </row>
    <row r="13" spans="1:14" ht="15.75" thickBot="1">
      <c r="A13" s="238" t="s">
        <v>153</v>
      </c>
      <c r="B13" s="239">
        <v>5324845</v>
      </c>
      <c r="C13" s="240"/>
      <c r="D13" s="239"/>
      <c r="E13" s="240"/>
      <c r="F13" s="239"/>
      <c r="G13" s="240"/>
      <c r="H13" s="239"/>
      <c r="I13" s="240"/>
      <c r="J13" s="239">
        <v>1774948</v>
      </c>
      <c r="K13" s="240">
        <v>1774948</v>
      </c>
      <c r="L13" s="239">
        <v>1774949</v>
      </c>
      <c r="M13" s="239"/>
      <c r="N13" s="241"/>
    </row>
    <row r="14" spans="1:14">
      <c r="A14" s="236"/>
      <c r="B14" s="236"/>
    </row>
    <row r="15" spans="1:14">
      <c r="A15" s="237"/>
      <c r="B15" s="237"/>
    </row>
  </sheetData>
  <mergeCells count="15">
    <mergeCell ref="M9:M11"/>
    <mergeCell ref="N9:N11"/>
    <mergeCell ref="A9:A11"/>
    <mergeCell ref="A7:N7"/>
    <mergeCell ref="B9:B11"/>
    <mergeCell ref="C9:C11"/>
    <mergeCell ref="D9:D11"/>
    <mergeCell ref="I9:I11"/>
    <mergeCell ref="J9:J11"/>
    <mergeCell ref="K9:K11"/>
    <mergeCell ref="L9:L11"/>
    <mergeCell ref="E9:E11"/>
    <mergeCell ref="F9:F11"/>
    <mergeCell ref="G9:G11"/>
    <mergeCell ref="H9:H11"/>
  </mergeCells>
  <pageMargins left="0.7" right="0.7" top="0.75" bottom="0.75" header="0.3" footer="0.3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sqref="A1:N14"/>
    </sheetView>
  </sheetViews>
  <sheetFormatPr defaultRowHeight="15"/>
  <cols>
    <col min="1" max="1" width="28.7109375" customWidth="1"/>
  </cols>
  <sheetData>
    <row r="1" spans="1:1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"/>
      <c r="B2" s="4"/>
      <c r="C2" s="4"/>
      <c r="D2" s="4"/>
      <c r="E2" s="4"/>
      <c r="F2" s="4"/>
      <c r="G2" s="4"/>
      <c r="H2" s="4"/>
      <c r="I2" s="4"/>
      <c r="J2" s="6" t="s">
        <v>240</v>
      </c>
      <c r="K2" s="4"/>
      <c r="L2" s="4"/>
      <c r="M2" s="4"/>
      <c r="N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5" t="s">
        <v>0</v>
      </c>
      <c r="K3" s="4"/>
      <c r="L3" s="4"/>
      <c r="M3" s="4"/>
      <c r="N3" s="4"/>
    </row>
    <row r="4" spans="1:14">
      <c r="A4" s="4"/>
      <c r="B4" s="4"/>
      <c r="C4" s="4"/>
      <c r="D4" s="4"/>
      <c r="E4" s="4"/>
      <c r="F4" s="4"/>
      <c r="G4" s="4"/>
      <c r="H4" s="4"/>
      <c r="I4" s="4"/>
      <c r="J4" s="5" t="s">
        <v>1</v>
      </c>
      <c r="K4" s="4"/>
      <c r="L4" s="4"/>
      <c r="M4" s="4"/>
      <c r="N4" s="4"/>
    </row>
    <row r="5" spans="1:14">
      <c r="A5" s="4"/>
      <c r="B5" s="4"/>
      <c r="C5" s="4"/>
      <c r="D5" s="4"/>
      <c r="E5" s="4"/>
      <c r="F5" s="4"/>
      <c r="G5" s="4"/>
      <c r="H5" s="4"/>
      <c r="I5" s="4"/>
      <c r="J5" s="5" t="s">
        <v>2</v>
      </c>
      <c r="K5" s="4"/>
      <c r="L5" s="4"/>
      <c r="M5" s="4"/>
      <c r="N5" s="4"/>
    </row>
    <row r="6" spans="1:14">
      <c r="A6" s="4"/>
      <c r="B6" s="4"/>
      <c r="C6" s="4"/>
      <c r="D6" s="4"/>
      <c r="E6" s="4"/>
      <c r="F6" s="4"/>
      <c r="G6" s="4"/>
      <c r="H6" s="4"/>
      <c r="I6" s="4"/>
      <c r="J6" s="5"/>
      <c r="K6" s="4"/>
      <c r="L6" s="4"/>
      <c r="M6" s="4"/>
      <c r="N6" s="4"/>
    </row>
    <row r="7" spans="1:14">
      <c r="A7" s="308" t="s">
        <v>241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</row>
    <row r="8" spans="1:14" ht="15.75" thickBot="1">
      <c r="A8" s="4"/>
      <c r="B8" s="4"/>
      <c r="C8" s="4"/>
      <c r="D8" s="4"/>
      <c r="E8" s="4"/>
      <c r="F8" s="4"/>
      <c r="G8" s="4"/>
      <c r="H8" s="4"/>
      <c r="I8" s="4"/>
      <c r="J8" s="5"/>
      <c r="K8" s="4"/>
      <c r="L8" s="4"/>
      <c r="M8" s="4"/>
      <c r="N8" s="4"/>
    </row>
    <row r="9" spans="1:14">
      <c r="A9" s="305" t="s">
        <v>238</v>
      </c>
      <c r="B9" s="263" t="s">
        <v>239</v>
      </c>
      <c r="C9" s="266" t="s">
        <v>63</v>
      </c>
      <c r="D9" s="269" t="s">
        <v>64</v>
      </c>
      <c r="E9" s="266" t="s">
        <v>65</v>
      </c>
      <c r="F9" s="269" t="s">
        <v>66</v>
      </c>
      <c r="G9" s="266" t="s">
        <v>67</v>
      </c>
      <c r="H9" s="269" t="s">
        <v>68</v>
      </c>
      <c r="I9" s="266" t="s">
        <v>69</v>
      </c>
      <c r="J9" s="269" t="s">
        <v>70</v>
      </c>
      <c r="K9" s="266" t="s">
        <v>71</v>
      </c>
      <c r="L9" s="269" t="s">
        <v>72</v>
      </c>
      <c r="M9" s="266" t="s">
        <v>73</v>
      </c>
      <c r="N9" s="266" t="s">
        <v>74</v>
      </c>
    </row>
    <row r="10" spans="1:14">
      <c r="A10" s="306"/>
      <c r="B10" s="264"/>
      <c r="C10" s="267"/>
      <c r="D10" s="270"/>
      <c r="E10" s="267"/>
      <c r="F10" s="270"/>
      <c r="G10" s="267"/>
      <c r="H10" s="270"/>
      <c r="I10" s="267"/>
      <c r="J10" s="270"/>
      <c r="K10" s="267"/>
      <c r="L10" s="270"/>
      <c r="M10" s="267"/>
      <c r="N10" s="267"/>
    </row>
    <row r="11" spans="1:14" ht="15.75" thickBot="1">
      <c r="A11" s="307"/>
      <c r="B11" s="265"/>
      <c r="C11" s="268"/>
      <c r="D11" s="271"/>
      <c r="E11" s="268"/>
      <c r="F11" s="271"/>
      <c r="G11" s="268"/>
      <c r="H11" s="271"/>
      <c r="I11" s="268"/>
      <c r="J11" s="271"/>
      <c r="K11" s="268"/>
      <c r="L11" s="271"/>
      <c r="M11" s="268"/>
      <c r="N11" s="268"/>
    </row>
    <row r="12" spans="1:14" ht="15.75" thickBot="1">
      <c r="A12" s="37">
        <v>1</v>
      </c>
      <c r="B12" s="39">
        <v>2</v>
      </c>
      <c r="C12" s="40">
        <v>3</v>
      </c>
      <c r="D12" s="41">
        <v>4</v>
      </c>
      <c r="E12" s="40">
        <v>5</v>
      </c>
      <c r="F12" s="41">
        <v>6</v>
      </c>
      <c r="G12" s="40">
        <v>7</v>
      </c>
      <c r="H12" s="41">
        <v>8</v>
      </c>
      <c r="I12" s="40">
        <v>9</v>
      </c>
      <c r="J12" s="41">
        <v>10</v>
      </c>
      <c r="K12" s="40">
        <v>11</v>
      </c>
      <c r="L12" s="41">
        <v>12</v>
      </c>
      <c r="M12" s="40">
        <v>13</v>
      </c>
      <c r="N12" s="40">
        <v>14</v>
      </c>
    </row>
    <row r="13" spans="1:14" ht="15.75" thickBot="1">
      <c r="A13" s="245" t="s">
        <v>201</v>
      </c>
      <c r="B13" s="242">
        <v>2239712</v>
      </c>
      <c r="C13" s="243">
        <v>19613.34</v>
      </c>
      <c r="D13" s="244"/>
      <c r="E13" s="243">
        <v>540314.41</v>
      </c>
      <c r="F13" s="244">
        <v>19613.34</v>
      </c>
      <c r="G13" s="243"/>
      <c r="H13" s="244">
        <v>540314.41</v>
      </c>
      <c r="I13" s="243">
        <v>19613.34</v>
      </c>
      <c r="J13" s="244"/>
      <c r="K13" s="243">
        <v>540314.41</v>
      </c>
      <c r="L13" s="244">
        <v>19613.34</v>
      </c>
      <c r="M13" s="243"/>
      <c r="N13" s="243">
        <v>540314.41</v>
      </c>
    </row>
    <row r="14" spans="1:14">
      <c r="A14" s="236"/>
      <c r="B14" s="236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</sheetData>
  <mergeCells count="15">
    <mergeCell ref="A7:N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Załącznik Nr 1</vt:lpstr>
      <vt:lpstr>Załącznik Nr 2</vt:lpstr>
      <vt:lpstr>Załącznik Nr 3</vt:lpstr>
      <vt:lpstr>Załącznik Nr 4</vt:lpstr>
      <vt:lpstr>Załącznik Nr 5</vt:lpstr>
      <vt:lpstr>Załącznik Nr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Bruzik</dc:creator>
  <cp:lastModifiedBy>Joanna Bruzik</cp:lastModifiedBy>
  <cp:lastPrinted>2018-07-10T06:33:54Z</cp:lastPrinted>
  <dcterms:created xsi:type="dcterms:W3CDTF">2017-04-06T06:04:43Z</dcterms:created>
  <dcterms:modified xsi:type="dcterms:W3CDTF">2018-07-10T06:34:06Z</dcterms:modified>
</cp:coreProperties>
</file>