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95" windowWidth="20115" windowHeight="6975" activeTab="5"/>
  </bookViews>
  <sheets>
    <sheet name="Załącznik Nr 1" sheetId="4" r:id="rId1"/>
    <sheet name="Załącznik Nr 2" sheetId="5" r:id="rId2"/>
    <sheet name="Załącznik Nr 3" sheetId="1" r:id="rId3"/>
    <sheet name="Załącznik Nr 4" sheetId="2" r:id="rId4"/>
    <sheet name="Załącznik Nr 5" sheetId="3" r:id="rId5"/>
    <sheet name="Załącznik Nr 6" sheetId="6" r:id="rId6"/>
  </sheets>
  <calcPr calcId="145621"/>
</workbook>
</file>

<file path=xl/calcChain.xml><?xml version="1.0" encoding="utf-8"?>
<calcChain xmlns="http://schemas.openxmlformats.org/spreadsheetml/2006/main">
  <c r="C113" i="2" l="1"/>
  <c r="D113" i="2"/>
  <c r="E113" i="2"/>
  <c r="F113" i="2"/>
  <c r="G113" i="2"/>
  <c r="H113" i="2"/>
  <c r="I113" i="2"/>
  <c r="J113" i="2"/>
  <c r="K113" i="2"/>
  <c r="L113" i="2"/>
  <c r="M113" i="2"/>
  <c r="N113" i="2"/>
  <c r="B113" i="2"/>
  <c r="O115" i="2"/>
  <c r="O112" i="2"/>
  <c r="N92" i="2" l="1"/>
  <c r="B83" i="2"/>
  <c r="B74" i="2"/>
  <c r="O238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O236" i="1"/>
  <c r="N235" i="1"/>
  <c r="N239" i="1" s="1"/>
  <c r="M235" i="1"/>
  <c r="L235" i="1"/>
  <c r="L239" i="1" s="1"/>
  <c r="K235" i="1"/>
  <c r="J235" i="1"/>
  <c r="J239" i="1" s="1"/>
  <c r="I235" i="1"/>
  <c r="H235" i="1"/>
  <c r="H239" i="1" s="1"/>
  <c r="G235" i="1"/>
  <c r="F235" i="1"/>
  <c r="F239" i="1" s="1"/>
  <c r="E235" i="1"/>
  <c r="D235" i="1"/>
  <c r="D239" i="1" s="1"/>
  <c r="C235" i="1"/>
  <c r="O235" i="1" s="1"/>
  <c r="B235" i="1"/>
  <c r="B239" i="1" s="1"/>
  <c r="F228" i="1"/>
  <c r="O228" i="1" s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O226" i="1"/>
  <c r="N225" i="1"/>
  <c r="N229" i="1" s="1"/>
  <c r="M225" i="1"/>
  <c r="M229" i="1" s="1"/>
  <c r="L225" i="1"/>
  <c r="L229" i="1" s="1"/>
  <c r="K225" i="1"/>
  <c r="K229" i="1" s="1"/>
  <c r="J225" i="1"/>
  <c r="J229" i="1" s="1"/>
  <c r="I225" i="1"/>
  <c r="I229" i="1" s="1"/>
  <c r="H225" i="1"/>
  <c r="H229" i="1" s="1"/>
  <c r="G225" i="1"/>
  <c r="G229" i="1" s="1"/>
  <c r="F225" i="1"/>
  <c r="F229" i="1" s="1"/>
  <c r="E225" i="1"/>
  <c r="E229" i="1" s="1"/>
  <c r="D225" i="1"/>
  <c r="D229" i="1" s="1"/>
  <c r="C225" i="1"/>
  <c r="C229" i="1" s="1"/>
  <c r="B225" i="1"/>
  <c r="B229" i="1" s="1"/>
  <c r="O219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O217" i="1"/>
  <c r="N216" i="1"/>
  <c r="N220" i="1" s="1"/>
  <c r="M216" i="1"/>
  <c r="M220" i="1" s="1"/>
  <c r="L216" i="1"/>
  <c r="L220" i="1" s="1"/>
  <c r="K216" i="1"/>
  <c r="K220" i="1" s="1"/>
  <c r="J216" i="1"/>
  <c r="J220" i="1" s="1"/>
  <c r="I216" i="1"/>
  <c r="I220" i="1" s="1"/>
  <c r="H216" i="1"/>
  <c r="H220" i="1" s="1"/>
  <c r="G216" i="1"/>
  <c r="G220" i="1" s="1"/>
  <c r="F216" i="1"/>
  <c r="F220" i="1" s="1"/>
  <c r="E216" i="1"/>
  <c r="E220" i="1" s="1"/>
  <c r="D216" i="1"/>
  <c r="D220" i="1" s="1"/>
  <c r="C216" i="1"/>
  <c r="C220" i="1" s="1"/>
  <c r="B216" i="1"/>
  <c r="B220" i="1" s="1"/>
  <c r="N209" i="1"/>
  <c r="N208" i="1" s="1"/>
  <c r="B209" i="1"/>
  <c r="B208" i="1" s="1"/>
  <c r="O209" i="1"/>
  <c r="M208" i="1"/>
  <c r="L208" i="1"/>
  <c r="K208" i="1"/>
  <c r="J208" i="1"/>
  <c r="I208" i="1"/>
  <c r="H208" i="1"/>
  <c r="G208" i="1"/>
  <c r="F208" i="1"/>
  <c r="E208" i="1"/>
  <c r="D208" i="1"/>
  <c r="C208" i="1"/>
  <c r="O207" i="1"/>
  <c r="O206" i="1"/>
  <c r="O205" i="1"/>
  <c r="O204" i="1"/>
  <c r="O203" i="1"/>
  <c r="N202" i="1"/>
  <c r="M202" i="1"/>
  <c r="M210" i="1" s="1"/>
  <c r="L202" i="1"/>
  <c r="L210" i="1" s="1"/>
  <c r="K202" i="1"/>
  <c r="K210" i="1" s="1"/>
  <c r="J202" i="1"/>
  <c r="J210" i="1" s="1"/>
  <c r="I202" i="1"/>
  <c r="I210" i="1" s="1"/>
  <c r="H202" i="1"/>
  <c r="H210" i="1" s="1"/>
  <c r="G202" i="1"/>
  <c r="G210" i="1" s="1"/>
  <c r="F202" i="1"/>
  <c r="F210" i="1" s="1"/>
  <c r="E202" i="1"/>
  <c r="E210" i="1" s="1"/>
  <c r="D202" i="1"/>
  <c r="D210" i="1" s="1"/>
  <c r="C202" i="1"/>
  <c r="C210" i="1" s="1"/>
  <c r="B202" i="1"/>
  <c r="B210" i="1" l="1"/>
  <c r="O227" i="1"/>
  <c r="C239" i="1"/>
  <c r="E239" i="1"/>
  <c r="G239" i="1"/>
  <c r="I239" i="1"/>
  <c r="K239" i="1"/>
  <c r="M239" i="1"/>
  <c r="O237" i="1"/>
  <c r="O229" i="1"/>
  <c r="O225" i="1"/>
  <c r="O220" i="1"/>
  <c r="O218" i="1"/>
  <c r="O216" i="1"/>
  <c r="N210" i="1"/>
  <c r="O208" i="1"/>
  <c r="O210" i="1"/>
  <c r="O202" i="1"/>
  <c r="O239" i="1" l="1"/>
  <c r="N187" i="1"/>
  <c r="N185" i="1"/>
  <c r="H28" i="5"/>
  <c r="P102" i="5" l="1"/>
  <c r="J146" i="5"/>
  <c r="B101" i="2"/>
  <c r="B92" i="2" l="1"/>
  <c r="O58" i="2"/>
  <c r="O53" i="4"/>
  <c r="N53" i="4"/>
  <c r="M53" i="4"/>
  <c r="L53" i="4"/>
  <c r="K53" i="4"/>
  <c r="J53" i="4"/>
  <c r="I53" i="4"/>
  <c r="H53" i="4"/>
  <c r="G53" i="4"/>
  <c r="F53" i="4"/>
  <c r="E53" i="4"/>
  <c r="O51" i="4"/>
  <c r="N51" i="4"/>
  <c r="M51" i="4"/>
  <c r="L51" i="4"/>
  <c r="K51" i="4"/>
  <c r="I51" i="4"/>
  <c r="H51" i="4"/>
  <c r="G51" i="4"/>
  <c r="F51" i="4"/>
  <c r="E51" i="4"/>
  <c r="P50" i="4" l="1"/>
  <c r="O50" i="4"/>
  <c r="N50" i="4"/>
  <c r="M50" i="4"/>
  <c r="L50" i="4"/>
  <c r="K50" i="4"/>
  <c r="J50" i="4"/>
  <c r="I50" i="4"/>
  <c r="H50" i="4"/>
  <c r="G50" i="4"/>
  <c r="F50" i="4"/>
  <c r="E50" i="4"/>
  <c r="E133" i="5" l="1"/>
  <c r="E95" i="5"/>
  <c r="E89" i="5"/>
  <c r="E84" i="5"/>
  <c r="E79" i="5"/>
  <c r="E72" i="5"/>
  <c r="E60" i="5"/>
  <c r="E101" i="5" l="1"/>
  <c r="F101" i="5"/>
  <c r="G101" i="5"/>
  <c r="H101" i="5"/>
  <c r="I101" i="5"/>
  <c r="J101" i="5"/>
  <c r="K101" i="5"/>
  <c r="L101" i="5"/>
  <c r="M101" i="5"/>
  <c r="N101" i="5"/>
  <c r="O101" i="5"/>
  <c r="P101" i="5"/>
  <c r="Q101" i="5"/>
  <c r="D101" i="5"/>
  <c r="E46" i="5"/>
  <c r="F46" i="5"/>
  <c r="G46" i="5"/>
  <c r="H46" i="5"/>
  <c r="I46" i="5"/>
  <c r="J46" i="5"/>
  <c r="K46" i="5"/>
  <c r="L46" i="5"/>
  <c r="M46" i="5"/>
  <c r="N46" i="5"/>
  <c r="O46" i="5"/>
  <c r="P46" i="5"/>
  <c r="D46" i="5"/>
  <c r="G34" i="5"/>
  <c r="O18" i="5"/>
  <c r="E44" i="5"/>
  <c r="E15" i="5"/>
  <c r="F15" i="5"/>
  <c r="G15" i="5"/>
  <c r="H15" i="5"/>
  <c r="I15" i="5"/>
  <c r="J15" i="5"/>
  <c r="K15" i="5"/>
  <c r="L15" i="5"/>
  <c r="M15" i="5"/>
  <c r="N15" i="5"/>
  <c r="O15" i="5"/>
  <c r="P15" i="5"/>
  <c r="D15" i="5"/>
  <c r="E20" i="5"/>
  <c r="F20" i="5"/>
  <c r="G20" i="5"/>
  <c r="H20" i="5"/>
  <c r="I20" i="5"/>
  <c r="J20" i="5"/>
  <c r="K20" i="5"/>
  <c r="L20" i="5"/>
  <c r="M20" i="5"/>
  <c r="N20" i="5"/>
  <c r="O20" i="5"/>
  <c r="P20" i="5"/>
  <c r="D20" i="5"/>
  <c r="D19" i="5" s="1"/>
  <c r="E26" i="5"/>
  <c r="F26" i="5"/>
  <c r="G26" i="5"/>
  <c r="H26" i="5"/>
  <c r="I26" i="5"/>
  <c r="J26" i="5"/>
  <c r="K26" i="5"/>
  <c r="L26" i="5"/>
  <c r="M26" i="5"/>
  <c r="N26" i="5"/>
  <c r="O26" i="5"/>
  <c r="P26" i="5"/>
  <c r="D26" i="5"/>
  <c r="E29" i="5"/>
  <c r="F29" i="5"/>
  <c r="G29" i="5"/>
  <c r="H29" i="5"/>
  <c r="I29" i="5"/>
  <c r="J29" i="5"/>
  <c r="K29" i="5"/>
  <c r="L29" i="5"/>
  <c r="M29" i="5"/>
  <c r="N29" i="5"/>
  <c r="O29" i="5"/>
  <c r="P29" i="5"/>
  <c r="D29" i="5"/>
  <c r="E33" i="5"/>
  <c r="F33" i="5"/>
  <c r="G33" i="5"/>
  <c r="H33" i="5"/>
  <c r="I33" i="5"/>
  <c r="J33" i="5"/>
  <c r="K33" i="5"/>
  <c r="L33" i="5"/>
  <c r="M33" i="5"/>
  <c r="N33" i="5"/>
  <c r="O33" i="5"/>
  <c r="P33" i="5"/>
  <c r="D33" i="5"/>
  <c r="E43" i="5"/>
  <c r="F43" i="5"/>
  <c r="G43" i="5"/>
  <c r="H43" i="5"/>
  <c r="I43" i="5"/>
  <c r="J43" i="5"/>
  <c r="K43" i="5"/>
  <c r="L43" i="5"/>
  <c r="M43" i="5"/>
  <c r="N43" i="5"/>
  <c r="O43" i="5"/>
  <c r="P43" i="5"/>
  <c r="D43" i="5"/>
  <c r="E59" i="5"/>
  <c r="F59" i="5"/>
  <c r="G59" i="5"/>
  <c r="H59" i="5"/>
  <c r="I59" i="5"/>
  <c r="J59" i="5"/>
  <c r="K59" i="5"/>
  <c r="L59" i="5"/>
  <c r="M59" i="5"/>
  <c r="N59" i="5"/>
  <c r="O59" i="5"/>
  <c r="P59" i="5"/>
  <c r="D59" i="5"/>
  <c r="E63" i="5"/>
  <c r="F63" i="5"/>
  <c r="G63" i="5"/>
  <c r="H63" i="5"/>
  <c r="I63" i="5"/>
  <c r="J63" i="5"/>
  <c r="K63" i="5"/>
  <c r="L63" i="5"/>
  <c r="M63" i="5"/>
  <c r="N63" i="5"/>
  <c r="O63" i="5"/>
  <c r="P63" i="5"/>
  <c r="D63" i="5"/>
  <c r="E66" i="5"/>
  <c r="F66" i="5"/>
  <c r="G66" i="5"/>
  <c r="H66" i="5"/>
  <c r="I66" i="5"/>
  <c r="J66" i="5"/>
  <c r="K66" i="5"/>
  <c r="L66" i="5"/>
  <c r="M66" i="5"/>
  <c r="N66" i="5"/>
  <c r="O66" i="5"/>
  <c r="P66" i="5"/>
  <c r="D66" i="5"/>
  <c r="E69" i="5"/>
  <c r="F69" i="5"/>
  <c r="G69" i="5"/>
  <c r="H69" i="5"/>
  <c r="I69" i="5"/>
  <c r="J69" i="5"/>
  <c r="K69" i="5"/>
  <c r="L69" i="5"/>
  <c r="M69" i="5"/>
  <c r="N69" i="5"/>
  <c r="O69" i="5"/>
  <c r="P69" i="5"/>
  <c r="D69" i="5"/>
  <c r="E76" i="5"/>
  <c r="F76" i="5"/>
  <c r="G76" i="5"/>
  <c r="H76" i="5"/>
  <c r="I76" i="5"/>
  <c r="J76" i="5"/>
  <c r="K76" i="5"/>
  <c r="L76" i="5"/>
  <c r="M76" i="5"/>
  <c r="N76" i="5"/>
  <c r="O76" i="5"/>
  <c r="P76" i="5"/>
  <c r="D76" i="5"/>
  <c r="E87" i="5"/>
  <c r="F87" i="5"/>
  <c r="G87" i="5"/>
  <c r="H87" i="5"/>
  <c r="I87" i="5"/>
  <c r="J87" i="5"/>
  <c r="K87" i="5"/>
  <c r="L87" i="5"/>
  <c r="M87" i="5"/>
  <c r="N87" i="5"/>
  <c r="O87" i="5"/>
  <c r="P87" i="5"/>
  <c r="D87" i="5"/>
  <c r="E90" i="5"/>
  <c r="F90" i="5"/>
  <c r="F56" i="5" s="1"/>
  <c r="G90" i="5"/>
  <c r="H90" i="5"/>
  <c r="I90" i="5"/>
  <c r="J90" i="5"/>
  <c r="K90" i="5"/>
  <c r="L90" i="5"/>
  <c r="M90" i="5"/>
  <c r="N90" i="5"/>
  <c r="O90" i="5"/>
  <c r="P90" i="5"/>
  <c r="D90" i="5"/>
  <c r="E96" i="5"/>
  <c r="F96" i="5"/>
  <c r="G96" i="5"/>
  <c r="H96" i="5"/>
  <c r="H56" i="5" s="1"/>
  <c r="I96" i="5"/>
  <c r="J96" i="5"/>
  <c r="K96" i="5"/>
  <c r="L96" i="5"/>
  <c r="M96" i="5"/>
  <c r="N96" i="5"/>
  <c r="O96" i="5"/>
  <c r="P96" i="5"/>
  <c r="D9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D106" i="5"/>
  <c r="D100" i="5" s="1"/>
  <c r="E111" i="5"/>
  <c r="F111" i="5"/>
  <c r="G111" i="5"/>
  <c r="H111" i="5"/>
  <c r="I111" i="5"/>
  <c r="J111" i="5"/>
  <c r="K111" i="5"/>
  <c r="L111" i="5"/>
  <c r="L110" i="5" s="1"/>
  <c r="M111" i="5"/>
  <c r="N111" i="5"/>
  <c r="O111" i="5"/>
  <c r="P111" i="5"/>
  <c r="D111" i="5"/>
  <c r="D110" i="5" s="1"/>
  <c r="E114" i="5"/>
  <c r="F114" i="5"/>
  <c r="G114" i="5"/>
  <c r="H114" i="5"/>
  <c r="I114" i="5"/>
  <c r="J114" i="5"/>
  <c r="K114" i="5"/>
  <c r="L114" i="5"/>
  <c r="M114" i="5"/>
  <c r="N114" i="5"/>
  <c r="O114" i="5"/>
  <c r="P114" i="5"/>
  <c r="D114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D121" i="5"/>
  <c r="D128" i="5"/>
  <c r="D132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D141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D150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D154" i="5"/>
  <c r="D146" i="5"/>
  <c r="D144" i="5" s="1"/>
  <c r="I56" i="5"/>
  <c r="K56" i="5"/>
  <c r="L56" i="5"/>
  <c r="N56" i="5"/>
  <c r="O56" i="5"/>
  <c r="D56" i="5"/>
  <c r="E110" i="5"/>
  <c r="F110" i="5"/>
  <c r="G110" i="5"/>
  <c r="H110" i="5"/>
  <c r="I110" i="5"/>
  <c r="J110" i="5"/>
  <c r="K110" i="5"/>
  <c r="M110" i="5"/>
  <c r="N110" i="5"/>
  <c r="O110" i="5"/>
  <c r="P110" i="5"/>
  <c r="Q63" i="5"/>
  <c r="E41" i="5"/>
  <c r="F41" i="5"/>
  <c r="G41" i="5"/>
  <c r="H41" i="5"/>
  <c r="I41" i="5"/>
  <c r="J41" i="5"/>
  <c r="K41" i="5"/>
  <c r="L41" i="5"/>
  <c r="M41" i="5"/>
  <c r="N41" i="5"/>
  <c r="O41" i="5"/>
  <c r="P41" i="5"/>
  <c r="D41" i="5"/>
  <c r="E24" i="5"/>
  <c r="F24" i="5"/>
  <c r="G24" i="5"/>
  <c r="H24" i="5"/>
  <c r="I24" i="5"/>
  <c r="J24" i="5"/>
  <c r="K24" i="5"/>
  <c r="L24" i="5"/>
  <c r="M24" i="5"/>
  <c r="N24" i="5"/>
  <c r="O24" i="5"/>
  <c r="P24" i="5"/>
  <c r="D24" i="5"/>
  <c r="M56" i="5" l="1"/>
  <c r="E56" i="5"/>
  <c r="P56" i="5"/>
  <c r="G56" i="5"/>
  <c r="J56" i="5"/>
  <c r="D140" i="5"/>
  <c r="P83" i="4"/>
  <c r="O83" i="4"/>
  <c r="N83" i="4"/>
  <c r="M83" i="4"/>
  <c r="L83" i="4"/>
  <c r="K83" i="4"/>
  <c r="J83" i="4"/>
  <c r="I83" i="4"/>
  <c r="H83" i="4"/>
  <c r="G83" i="4"/>
  <c r="F83" i="4"/>
  <c r="E83" i="4"/>
  <c r="E81" i="4" s="1"/>
  <c r="E105" i="4"/>
  <c r="F105" i="4"/>
  <c r="G105" i="4"/>
  <c r="H105" i="4"/>
  <c r="I105" i="4"/>
  <c r="J105" i="4"/>
  <c r="K105" i="4"/>
  <c r="L105" i="4"/>
  <c r="M105" i="4"/>
  <c r="N105" i="4"/>
  <c r="O105" i="4"/>
  <c r="P105" i="4"/>
  <c r="D105" i="4"/>
  <c r="D46" i="4"/>
  <c r="E47" i="4"/>
  <c r="E46" i="4" s="1"/>
  <c r="F47" i="4"/>
  <c r="F46" i="4" s="1"/>
  <c r="G47" i="4"/>
  <c r="G46" i="4" s="1"/>
  <c r="H47" i="4"/>
  <c r="H46" i="4" s="1"/>
  <c r="I47" i="4"/>
  <c r="I46" i="4" s="1"/>
  <c r="J47" i="4"/>
  <c r="J46" i="4" s="1"/>
  <c r="K47" i="4"/>
  <c r="K46" i="4" s="1"/>
  <c r="L47" i="4"/>
  <c r="L46" i="4" s="1"/>
  <c r="M47" i="4"/>
  <c r="M46" i="4" s="1"/>
  <c r="N47" i="4"/>
  <c r="N46" i="4" s="1"/>
  <c r="O47" i="4"/>
  <c r="O46" i="4" s="1"/>
  <c r="P47" i="4"/>
  <c r="P46" i="4" s="1"/>
  <c r="D47" i="4"/>
  <c r="G34" i="4"/>
  <c r="D22" i="4" l="1"/>
  <c r="D85" i="4"/>
  <c r="E86" i="4"/>
  <c r="F86" i="4"/>
  <c r="G86" i="4"/>
  <c r="H86" i="4"/>
  <c r="I86" i="4"/>
  <c r="J86" i="4"/>
  <c r="K86" i="4"/>
  <c r="L86" i="4"/>
  <c r="M86" i="4"/>
  <c r="N86" i="4"/>
  <c r="O86" i="4"/>
  <c r="P86" i="4"/>
  <c r="D86" i="4"/>
  <c r="O187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O185" i="1"/>
  <c r="N184" i="1"/>
  <c r="N188" i="1" s="1"/>
  <c r="M184" i="1"/>
  <c r="M188" i="1" s="1"/>
  <c r="L184" i="1"/>
  <c r="L188" i="1" s="1"/>
  <c r="K184" i="1"/>
  <c r="K188" i="1" s="1"/>
  <c r="J184" i="1"/>
  <c r="J188" i="1" s="1"/>
  <c r="I184" i="1"/>
  <c r="I188" i="1" s="1"/>
  <c r="H184" i="1"/>
  <c r="H188" i="1" s="1"/>
  <c r="G184" i="1"/>
  <c r="G188" i="1" s="1"/>
  <c r="F184" i="1"/>
  <c r="F188" i="1" s="1"/>
  <c r="E184" i="1"/>
  <c r="E188" i="1" s="1"/>
  <c r="D184" i="1"/>
  <c r="D188" i="1" s="1"/>
  <c r="C184" i="1"/>
  <c r="C188" i="1" s="1"/>
  <c r="B184" i="1"/>
  <c r="B188" i="1" s="1"/>
  <c r="O139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B137" i="1"/>
  <c r="E39" i="4"/>
  <c r="F39" i="4"/>
  <c r="G39" i="4"/>
  <c r="H39" i="4"/>
  <c r="I39" i="4"/>
  <c r="J39" i="4"/>
  <c r="K39" i="4"/>
  <c r="L39" i="4"/>
  <c r="M39" i="4"/>
  <c r="N39" i="4"/>
  <c r="O39" i="4"/>
  <c r="P39" i="4"/>
  <c r="D39" i="4"/>
  <c r="O186" i="1" l="1"/>
  <c r="O188" i="1"/>
  <c r="O184" i="1"/>
  <c r="O163" i="2" l="1"/>
  <c r="O162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O160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O158" i="2"/>
  <c r="N157" i="2"/>
  <c r="N156" i="2" s="1"/>
  <c r="M157" i="2"/>
  <c r="M156" i="2" s="1"/>
  <c r="M164" i="2" s="1"/>
  <c r="L157" i="2"/>
  <c r="K157" i="2"/>
  <c r="K156" i="2" s="1"/>
  <c r="K164" i="2" s="1"/>
  <c r="J157" i="2"/>
  <c r="I157" i="2"/>
  <c r="I156" i="2" s="1"/>
  <c r="H157" i="2"/>
  <c r="H156" i="2" s="1"/>
  <c r="G157" i="2"/>
  <c r="G156" i="2" s="1"/>
  <c r="G164" i="2" s="1"/>
  <c r="F157" i="2"/>
  <c r="E157" i="2"/>
  <c r="E156" i="2" s="1"/>
  <c r="E164" i="2" s="1"/>
  <c r="D157" i="2"/>
  <c r="C157" i="2"/>
  <c r="C156" i="2" s="1"/>
  <c r="C164" i="2" s="1"/>
  <c r="B157" i="2"/>
  <c r="L156" i="2"/>
  <c r="L164" i="2" s="1"/>
  <c r="J156" i="2"/>
  <c r="J164" i="2" s="1"/>
  <c r="F156" i="2"/>
  <c r="D156" i="2"/>
  <c r="D164" i="2" s="1"/>
  <c r="N164" i="2" l="1"/>
  <c r="F164" i="2"/>
  <c r="B156" i="2"/>
  <c r="B164" i="2" s="1"/>
  <c r="O157" i="2"/>
  <c r="O159" i="2"/>
  <c r="I164" i="2"/>
  <c r="H164" i="2"/>
  <c r="O161" i="2"/>
  <c r="O156" i="2"/>
  <c r="Q118" i="5"/>
  <c r="O164" i="2" l="1"/>
  <c r="E59" i="4"/>
  <c r="F59" i="4"/>
  <c r="G59" i="4"/>
  <c r="H59" i="4"/>
  <c r="I59" i="4"/>
  <c r="J59" i="4"/>
  <c r="K59" i="4"/>
  <c r="L59" i="4"/>
  <c r="M59" i="4"/>
  <c r="N59" i="4"/>
  <c r="O59" i="4"/>
  <c r="P59" i="4"/>
  <c r="D59" i="4"/>
  <c r="Q59" i="4" l="1"/>
  <c r="Q59" i="5" l="1"/>
  <c r="Q73" i="5"/>
  <c r="Q13" i="5"/>
  <c r="Q14" i="5"/>
  <c r="Q16" i="5"/>
  <c r="Q17" i="5"/>
  <c r="Q18" i="5"/>
  <c r="Q21" i="5"/>
  <c r="Q22" i="5"/>
  <c r="Q23" i="5"/>
  <c r="Q25" i="5"/>
  <c r="Q27" i="5"/>
  <c r="Q28" i="5"/>
  <c r="Q30" i="5"/>
  <c r="Q31" i="5"/>
  <c r="Q32" i="5"/>
  <c r="Q34" i="5"/>
  <c r="Q35" i="5"/>
  <c r="Q36" i="5"/>
  <c r="Q38" i="5"/>
  <c r="Q39" i="5"/>
  <c r="Q40" i="5"/>
  <c r="Q44" i="5"/>
  <c r="Q46" i="5"/>
  <c r="Q50" i="5"/>
  <c r="Q52" i="5"/>
  <c r="Q54" i="5"/>
  <c r="Q55" i="5"/>
  <c r="Q57" i="5"/>
  <c r="Q58" i="5"/>
  <c r="Q60" i="5"/>
  <c r="Q61" i="5"/>
  <c r="Q62" i="5"/>
  <c r="Q70" i="5"/>
  <c r="Q71" i="5"/>
  <c r="Q72" i="5"/>
  <c r="Q74" i="5"/>
  <c r="Q75" i="5"/>
  <c r="Q77" i="5"/>
  <c r="Q78" i="5"/>
  <c r="Q79" i="5"/>
  <c r="Q80" i="5"/>
  <c r="Q81" i="5"/>
  <c r="Q82" i="5"/>
  <c r="Q83" i="5"/>
  <c r="Q84" i="5"/>
  <c r="Q85" i="5"/>
  <c r="Q86" i="5"/>
  <c r="Q88" i="5"/>
  <c r="Q89" i="5"/>
  <c r="Q97" i="5"/>
  <c r="Q99" i="5"/>
  <c r="Q104" i="5"/>
  <c r="Q105" i="5"/>
  <c r="Q107" i="5"/>
  <c r="Q108" i="5"/>
  <c r="Q109" i="5"/>
  <c r="Q112" i="5"/>
  <c r="Q113" i="5"/>
  <c r="Q115" i="5"/>
  <c r="Q116" i="5"/>
  <c r="Q117" i="5"/>
  <c r="Q119" i="5"/>
  <c r="Q120" i="5"/>
  <c r="Q122" i="5"/>
  <c r="Q123" i="5"/>
  <c r="Q124" i="5"/>
  <c r="Q125" i="5"/>
  <c r="Q127" i="5"/>
  <c r="Q129" i="5"/>
  <c r="Q130" i="5"/>
  <c r="Q131" i="5"/>
  <c r="Q133" i="5"/>
  <c r="Q134" i="5"/>
  <c r="Q136" i="5"/>
  <c r="Q137" i="5"/>
  <c r="Q138" i="5"/>
  <c r="Q139" i="5"/>
  <c r="Q142" i="5"/>
  <c r="Q143" i="5"/>
  <c r="Q145" i="5"/>
  <c r="Q146" i="5"/>
  <c r="Q147" i="5"/>
  <c r="Q149" i="5"/>
  <c r="Q151" i="5"/>
  <c r="Q152" i="5"/>
  <c r="Q153" i="5"/>
  <c r="Q155" i="5"/>
  <c r="Q156" i="5"/>
  <c r="Q159" i="5"/>
  <c r="Q144" i="5" l="1"/>
  <c r="Q29" i="5"/>
  <c r="Q21" i="4"/>
  <c r="Q22" i="4"/>
  <c r="E148" i="5" l="1"/>
  <c r="E135" i="5"/>
  <c r="E100" i="5"/>
  <c r="E53" i="5"/>
  <c r="E51" i="5"/>
  <c r="E49" i="5"/>
  <c r="E12" i="5"/>
  <c r="E140" i="5" l="1"/>
  <c r="F140" i="5"/>
  <c r="G140" i="5"/>
  <c r="H140" i="5"/>
  <c r="I140" i="5"/>
  <c r="J140" i="5"/>
  <c r="K140" i="5"/>
  <c r="L140" i="5"/>
  <c r="M140" i="5"/>
  <c r="N140" i="5"/>
  <c r="O140" i="5"/>
  <c r="P140" i="5"/>
  <c r="F12" i="5"/>
  <c r="G12" i="5"/>
  <c r="H12" i="5"/>
  <c r="I12" i="5"/>
  <c r="J12" i="5"/>
  <c r="K12" i="5"/>
  <c r="L12" i="5"/>
  <c r="M12" i="5"/>
  <c r="N12" i="5"/>
  <c r="O12" i="5"/>
  <c r="P12" i="5"/>
  <c r="D12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P148" i="5"/>
  <c r="O148" i="5"/>
  <c r="N148" i="5"/>
  <c r="M148" i="5"/>
  <c r="L148" i="5"/>
  <c r="K148" i="5"/>
  <c r="J148" i="5"/>
  <c r="I148" i="5"/>
  <c r="H148" i="5"/>
  <c r="G148" i="5"/>
  <c r="F148" i="5"/>
  <c r="D148" i="5"/>
  <c r="P135" i="5"/>
  <c r="O135" i="5"/>
  <c r="N135" i="5"/>
  <c r="M135" i="5"/>
  <c r="L135" i="5"/>
  <c r="K135" i="5"/>
  <c r="J135" i="5"/>
  <c r="I135" i="5"/>
  <c r="H135" i="5"/>
  <c r="G135" i="5"/>
  <c r="F135" i="5"/>
  <c r="D135" i="5"/>
  <c r="D126" i="5" s="1"/>
  <c r="P132" i="5"/>
  <c r="O132" i="5"/>
  <c r="N132" i="5"/>
  <c r="M132" i="5"/>
  <c r="L132" i="5"/>
  <c r="K132" i="5"/>
  <c r="J132" i="5"/>
  <c r="I132" i="5"/>
  <c r="H132" i="5"/>
  <c r="G132" i="5"/>
  <c r="F132" i="5"/>
  <c r="E132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G100" i="5"/>
  <c r="F100" i="5"/>
  <c r="P100" i="5"/>
  <c r="O100" i="5"/>
  <c r="N100" i="5"/>
  <c r="M100" i="5"/>
  <c r="L100" i="5"/>
  <c r="K100" i="5"/>
  <c r="J100" i="5"/>
  <c r="I100" i="5"/>
  <c r="H100" i="5"/>
  <c r="P53" i="5"/>
  <c r="O53" i="5"/>
  <c r="N53" i="5"/>
  <c r="M53" i="5"/>
  <c r="L53" i="5"/>
  <c r="K53" i="5"/>
  <c r="J53" i="5"/>
  <c r="I53" i="5"/>
  <c r="H53" i="5"/>
  <c r="G53" i="5"/>
  <c r="F53" i="5"/>
  <c r="D53" i="5"/>
  <c r="D157" i="5" s="1"/>
  <c r="P51" i="5"/>
  <c r="O51" i="5"/>
  <c r="N51" i="5"/>
  <c r="M51" i="5"/>
  <c r="L51" i="5"/>
  <c r="K51" i="5"/>
  <c r="J51" i="5"/>
  <c r="I51" i="5"/>
  <c r="H51" i="5"/>
  <c r="G51" i="5"/>
  <c r="F51" i="5"/>
  <c r="D51" i="5"/>
  <c r="P49" i="5"/>
  <c r="O49" i="5"/>
  <c r="N49" i="5"/>
  <c r="M49" i="5"/>
  <c r="L49" i="5"/>
  <c r="K49" i="5"/>
  <c r="J49" i="5"/>
  <c r="I49" i="5"/>
  <c r="H49" i="5"/>
  <c r="G49" i="5"/>
  <c r="F49" i="5"/>
  <c r="D49" i="5"/>
  <c r="Q24" i="5"/>
  <c r="P19" i="5"/>
  <c r="N19" i="5"/>
  <c r="M19" i="5"/>
  <c r="L19" i="5"/>
  <c r="K19" i="5"/>
  <c r="J19" i="5"/>
  <c r="I19" i="5"/>
  <c r="G19" i="5"/>
  <c r="F19" i="5"/>
  <c r="E19" i="5"/>
  <c r="O19" i="5"/>
  <c r="Q103" i="4"/>
  <c r="Q104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D102" i="4"/>
  <c r="D108" i="4"/>
  <c r="Q106" i="4"/>
  <c r="Q100" i="4"/>
  <c r="Q109" i="4"/>
  <c r="Q84" i="4"/>
  <c r="E41" i="4"/>
  <c r="F41" i="4"/>
  <c r="G41" i="4"/>
  <c r="H41" i="4"/>
  <c r="I41" i="4"/>
  <c r="J41" i="4"/>
  <c r="K41" i="4"/>
  <c r="L41" i="4"/>
  <c r="M41" i="4"/>
  <c r="N41" i="4"/>
  <c r="O41" i="4"/>
  <c r="P41" i="4"/>
  <c r="D41" i="4"/>
  <c r="E20" i="4"/>
  <c r="F20" i="4"/>
  <c r="F19" i="4" s="1"/>
  <c r="G20" i="4"/>
  <c r="G19" i="4" s="1"/>
  <c r="H20" i="4"/>
  <c r="H19" i="4" s="1"/>
  <c r="I20" i="4"/>
  <c r="I19" i="4" s="1"/>
  <c r="J20" i="4"/>
  <c r="J19" i="4" s="1"/>
  <c r="K20" i="4"/>
  <c r="K19" i="4" s="1"/>
  <c r="L20" i="4"/>
  <c r="L19" i="4" s="1"/>
  <c r="M20" i="4"/>
  <c r="M19" i="4" s="1"/>
  <c r="N20" i="4"/>
  <c r="N19" i="4" s="1"/>
  <c r="O20" i="4"/>
  <c r="O19" i="4" s="1"/>
  <c r="P20" i="4"/>
  <c r="P19" i="4" s="1"/>
  <c r="D20" i="4"/>
  <c r="D19" i="4" s="1"/>
  <c r="E12" i="4"/>
  <c r="F12" i="4"/>
  <c r="G12" i="4"/>
  <c r="H12" i="4"/>
  <c r="I12" i="4"/>
  <c r="J12" i="4"/>
  <c r="K12" i="4"/>
  <c r="L12" i="4"/>
  <c r="M12" i="4"/>
  <c r="N12" i="4"/>
  <c r="O12" i="4"/>
  <c r="P12" i="4"/>
  <c r="D12" i="4"/>
  <c r="Q13" i="4"/>
  <c r="Q14" i="4"/>
  <c r="Q16" i="4"/>
  <c r="Q18" i="4"/>
  <c r="Q25" i="4"/>
  <c r="Q26" i="4"/>
  <c r="Q29" i="4"/>
  <c r="Q30" i="4"/>
  <c r="Q31" i="4"/>
  <c r="Q32" i="4"/>
  <c r="Q34" i="4"/>
  <c r="Q35" i="4"/>
  <c r="Q37" i="4"/>
  <c r="Q38" i="4"/>
  <c r="Q42" i="4"/>
  <c r="Q45" i="4"/>
  <c r="Q47" i="4"/>
  <c r="Q50" i="4"/>
  <c r="Q51" i="4"/>
  <c r="Q53" i="4"/>
  <c r="Q54" i="4"/>
  <c r="Q55" i="4"/>
  <c r="Q56" i="4"/>
  <c r="Q58" i="4"/>
  <c r="Q60" i="4"/>
  <c r="Q61" i="4"/>
  <c r="Q63" i="4"/>
  <c r="Q64" i="4"/>
  <c r="Q65" i="4"/>
  <c r="Q66" i="4"/>
  <c r="Q67" i="4"/>
  <c r="Q68" i="4"/>
  <c r="Q69" i="4"/>
  <c r="Q70" i="4"/>
  <c r="Q74" i="4"/>
  <c r="Q75" i="4"/>
  <c r="Q78" i="4"/>
  <c r="Q79" i="4"/>
  <c r="Q80" i="4"/>
  <c r="Q82" i="4"/>
  <c r="Q83" i="4"/>
  <c r="Q93" i="4"/>
  <c r="Q94" i="4"/>
  <c r="Q96" i="4"/>
  <c r="Q97" i="4"/>
  <c r="Q99" i="4"/>
  <c r="Q112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P95" i="4"/>
  <c r="O95" i="4"/>
  <c r="N95" i="4"/>
  <c r="M95" i="4"/>
  <c r="L95" i="4"/>
  <c r="K95" i="4"/>
  <c r="J95" i="4"/>
  <c r="J92" i="4" s="1"/>
  <c r="I95" i="4"/>
  <c r="H95" i="4"/>
  <c r="G95" i="4"/>
  <c r="F95" i="4"/>
  <c r="E95" i="4"/>
  <c r="D95" i="4"/>
  <c r="P85" i="4"/>
  <c r="O85" i="4"/>
  <c r="N85" i="4"/>
  <c r="M85" i="4"/>
  <c r="L85" i="4"/>
  <c r="K85" i="4"/>
  <c r="J85" i="4"/>
  <c r="I85" i="4"/>
  <c r="H85" i="4"/>
  <c r="G85" i="4"/>
  <c r="F85" i="4"/>
  <c r="E85" i="4"/>
  <c r="P81" i="4"/>
  <c r="O81" i="4"/>
  <c r="N81" i="4"/>
  <c r="M81" i="4"/>
  <c r="L81" i="4"/>
  <c r="K81" i="4"/>
  <c r="J81" i="4"/>
  <c r="I81" i="4"/>
  <c r="H81" i="4"/>
  <c r="G81" i="4"/>
  <c r="F81" i="4"/>
  <c r="D81" i="4"/>
  <c r="P77" i="4"/>
  <c r="O77" i="4"/>
  <c r="O76" i="4" s="1"/>
  <c r="N77" i="4"/>
  <c r="M77" i="4"/>
  <c r="M76" i="4" s="1"/>
  <c r="L77" i="4"/>
  <c r="K77" i="4"/>
  <c r="K76" i="4" s="1"/>
  <c r="J77" i="4"/>
  <c r="I77" i="4"/>
  <c r="I76" i="4" s="1"/>
  <c r="H77" i="4"/>
  <c r="G77" i="4"/>
  <c r="F77" i="4"/>
  <c r="E77" i="4"/>
  <c r="D77" i="4"/>
  <c r="P73" i="4"/>
  <c r="P72" i="4" s="1"/>
  <c r="O73" i="4"/>
  <c r="N73" i="4"/>
  <c r="N72" i="4" s="1"/>
  <c r="M73" i="4"/>
  <c r="M72" i="4" s="1"/>
  <c r="L73" i="4"/>
  <c r="L72" i="4" s="1"/>
  <c r="K73" i="4"/>
  <c r="K72" i="4" s="1"/>
  <c r="J73" i="4"/>
  <c r="J72" i="4" s="1"/>
  <c r="I73" i="4"/>
  <c r="I72" i="4" s="1"/>
  <c r="H73" i="4"/>
  <c r="H72" i="4" s="1"/>
  <c r="G73" i="4"/>
  <c r="G72" i="4" s="1"/>
  <c r="F73" i="4"/>
  <c r="E73" i="4"/>
  <c r="E72" i="4" s="1"/>
  <c r="D73" i="4"/>
  <c r="D72" i="4" s="1"/>
  <c r="O72" i="4"/>
  <c r="P62" i="4"/>
  <c r="P57" i="4" s="1"/>
  <c r="O62" i="4"/>
  <c r="O57" i="4" s="1"/>
  <c r="N62" i="4"/>
  <c r="N57" i="4" s="1"/>
  <c r="M62" i="4"/>
  <c r="M57" i="4" s="1"/>
  <c r="L62" i="4"/>
  <c r="L57" i="4" s="1"/>
  <c r="K62" i="4"/>
  <c r="K57" i="4" s="1"/>
  <c r="J62" i="4"/>
  <c r="J57" i="4" s="1"/>
  <c r="I62" i="4"/>
  <c r="I57" i="4" s="1"/>
  <c r="H62" i="4"/>
  <c r="H57" i="4" s="1"/>
  <c r="G62" i="4"/>
  <c r="G57" i="4" s="1"/>
  <c r="F62" i="4"/>
  <c r="F57" i="4" s="1"/>
  <c r="E62" i="4"/>
  <c r="D62" i="4"/>
  <c r="D57" i="4" s="1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P36" i="4"/>
  <c r="P33" i="4" s="1"/>
  <c r="O36" i="4"/>
  <c r="O33" i="4" s="1"/>
  <c r="N36" i="4"/>
  <c r="N33" i="4" s="1"/>
  <c r="M36" i="4"/>
  <c r="M33" i="4" s="1"/>
  <c r="L36" i="4"/>
  <c r="L33" i="4" s="1"/>
  <c r="K36" i="4"/>
  <c r="K33" i="4" s="1"/>
  <c r="J36" i="4"/>
  <c r="J33" i="4" s="1"/>
  <c r="I36" i="4"/>
  <c r="I33" i="4" s="1"/>
  <c r="H36" i="4"/>
  <c r="G36" i="4"/>
  <c r="G33" i="4" s="1"/>
  <c r="F36" i="4"/>
  <c r="F33" i="4" s="1"/>
  <c r="E36" i="4"/>
  <c r="E33" i="4" s="1"/>
  <c r="D36" i="4"/>
  <c r="D33" i="4" s="1"/>
  <c r="P28" i="4"/>
  <c r="P27" i="4" s="1"/>
  <c r="O28" i="4"/>
  <c r="O27" i="4" s="1"/>
  <c r="N28" i="4"/>
  <c r="N27" i="4" s="1"/>
  <c r="M28" i="4"/>
  <c r="M27" i="4" s="1"/>
  <c r="L28" i="4"/>
  <c r="L27" i="4" s="1"/>
  <c r="K28" i="4"/>
  <c r="K27" i="4" s="1"/>
  <c r="J28" i="4"/>
  <c r="J27" i="4" s="1"/>
  <c r="I28" i="4"/>
  <c r="I27" i="4" s="1"/>
  <c r="H28" i="4"/>
  <c r="H27" i="4" s="1"/>
  <c r="G28" i="4"/>
  <c r="G27" i="4" s="1"/>
  <c r="F28" i="4"/>
  <c r="F27" i="4" s="1"/>
  <c r="E28" i="4"/>
  <c r="D28" i="4"/>
  <c r="D27" i="4" s="1"/>
  <c r="P24" i="4"/>
  <c r="P23" i="4" s="1"/>
  <c r="O24" i="4"/>
  <c r="O23" i="4" s="1"/>
  <c r="N24" i="4"/>
  <c r="N23" i="4" s="1"/>
  <c r="M24" i="4"/>
  <c r="M23" i="4" s="1"/>
  <c r="L24" i="4"/>
  <c r="L23" i="4" s="1"/>
  <c r="K24" i="4"/>
  <c r="K23" i="4" s="1"/>
  <c r="J24" i="4"/>
  <c r="J23" i="4" s="1"/>
  <c r="I24" i="4"/>
  <c r="I23" i="4" s="1"/>
  <c r="H24" i="4"/>
  <c r="H23" i="4" s="1"/>
  <c r="G24" i="4"/>
  <c r="G23" i="4" s="1"/>
  <c r="F24" i="4"/>
  <c r="F23" i="4" s="1"/>
  <c r="E24" i="4"/>
  <c r="D24" i="4"/>
  <c r="D23" i="4" s="1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E27" i="4" l="1"/>
  <c r="E23" i="4"/>
  <c r="H33" i="4"/>
  <c r="Q53" i="5"/>
  <c r="Q51" i="5"/>
  <c r="F92" i="4"/>
  <c r="E57" i="4"/>
  <c r="F72" i="4"/>
  <c r="E76" i="4"/>
  <c r="G76" i="4"/>
  <c r="Q46" i="4"/>
  <c r="E19" i="4"/>
  <c r="D76" i="4"/>
  <c r="F76" i="4"/>
  <c r="H76" i="4"/>
  <c r="J76" i="4"/>
  <c r="L76" i="4"/>
  <c r="N76" i="4"/>
  <c r="P76" i="4"/>
  <c r="K92" i="4"/>
  <c r="M126" i="5"/>
  <c r="M157" i="5" s="1"/>
  <c r="M160" i="5" s="1"/>
  <c r="Q12" i="5"/>
  <c r="Q148" i="5"/>
  <c r="Q26" i="5"/>
  <c r="D101" i="4"/>
  <c r="D110" i="4" s="1"/>
  <c r="G92" i="4"/>
  <c r="O92" i="4"/>
  <c r="Q154" i="5"/>
  <c r="Q150" i="5"/>
  <c r="Q33" i="5"/>
  <c r="Q15" i="5"/>
  <c r="Q96" i="5"/>
  <c r="Q49" i="5"/>
  <c r="Q114" i="5"/>
  <c r="Q43" i="5"/>
  <c r="Q100" i="5"/>
  <c r="Q106" i="5"/>
  <c r="Q158" i="5"/>
  <c r="H19" i="5"/>
  <c r="Q20" i="5"/>
  <c r="Q87" i="5"/>
  <c r="Q121" i="5"/>
  <c r="Q135" i="5"/>
  <c r="Q132" i="5"/>
  <c r="Q76" i="5"/>
  <c r="Q69" i="5"/>
  <c r="Q128" i="5"/>
  <c r="Q140" i="5"/>
  <c r="Q141" i="5"/>
  <c r="Q111" i="5"/>
  <c r="Q110" i="5" s="1"/>
  <c r="P101" i="4"/>
  <c r="N101" i="4"/>
  <c r="L101" i="4"/>
  <c r="J101" i="4"/>
  <c r="H101" i="4"/>
  <c r="F101" i="4"/>
  <c r="M92" i="4"/>
  <c r="H92" i="4"/>
  <c r="Q105" i="4"/>
  <c r="O101" i="4"/>
  <c r="O110" i="4" s="1"/>
  <c r="M101" i="4"/>
  <c r="M110" i="4" s="1"/>
  <c r="K101" i="4"/>
  <c r="K110" i="4" s="1"/>
  <c r="K113" i="4" s="1"/>
  <c r="I101" i="4"/>
  <c r="G101" i="4"/>
  <c r="Q102" i="4"/>
  <c r="E101" i="4"/>
  <c r="N126" i="5"/>
  <c r="N157" i="5" s="1"/>
  <c r="L126" i="5"/>
  <c r="L157" i="5" s="1"/>
  <c r="L160" i="5" s="1"/>
  <c r="J126" i="5"/>
  <c r="J157" i="5" s="1"/>
  <c r="H126" i="5"/>
  <c r="F126" i="5"/>
  <c r="F157" i="5" s="1"/>
  <c r="I92" i="4"/>
  <c r="I110" i="4" s="1"/>
  <c r="E92" i="4"/>
  <c r="P126" i="5"/>
  <c r="L92" i="4"/>
  <c r="O126" i="5"/>
  <c r="O157" i="5" s="1"/>
  <c r="K126" i="5"/>
  <c r="K157" i="5" s="1"/>
  <c r="I126" i="5"/>
  <c r="I157" i="5" s="1"/>
  <c r="G126" i="5"/>
  <c r="G157" i="5" s="1"/>
  <c r="E126" i="5"/>
  <c r="Q108" i="4"/>
  <c r="N92" i="4"/>
  <c r="P92" i="4"/>
  <c r="Q111" i="4"/>
  <c r="Q12" i="4"/>
  <c r="Q20" i="4"/>
  <c r="D92" i="4"/>
  <c r="Q86" i="4"/>
  <c r="Q62" i="4"/>
  <c r="Q73" i="4"/>
  <c r="Q77" i="4"/>
  <c r="Q15" i="4"/>
  <c r="Q24" i="4"/>
  <c r="Q28" i="4"/>
  <c r="Q36" i="4"/>
  <c r="Q44" i="4"/>
  <c r="Q95" i="4"/>
  <c r="Q52" i="4"/>
  <c r="Q85" i="4"/>
  <c r="Q72" i="4"/>
  <c r="Q17" i="4"/>
  <c r="Q33" i="4"/>
  <c r="Q41" i="4"/>
  <c r="Q98" i="4"/>
  <c r="Q81" i="4"/>
  <c r="Q27" i="4"/>
  <c r="O148" i="2"/>
  <c r="O147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O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O143" i="2"/>
  <c r="N142" i="2"/>
  <c r="M142" i="2"/>
  <c r="M141" i="2" s="1"/>
  <c r="M149" i="2" s="1"/>
  <c r="L142" i="2"/>
  <c r="K142" i="2"/>
  <c r="J142" i="2"/>
  <c r="I142" i="2"/>
  <c r="I141" i="2" s="1"/>
  <c r="I149" i="2" s="1"/>
  <c r="H142" i="2"/>
  <c r="G142" i="2"/>
  <c r="G141" i="2" s="1"/>
  <c r="F142" i="2"/>
  <c r="E142" i="2"/>
  <c r="E141" i="2" s="1"/>
  <c r="E149" i="2" s="1"/>
  <c r="D142" i="2"/>
  <c r="C142" i="2"/>
  <c r="O142" i="2" s="1"/>
  <c r="B142" i="2"/>
  <c r="B141" i="2" s="1"/>
  <c r="B149" i="2" s="1"/>
  <c r="N141" i="2"/>
  <c r="N149" i="2" s="1"/>
  <c r="L141" i="2"/>
  <c r="L149" i="2" s="1"/>
  <c r="K141" i="2"/>
  <c r="K149" i="2" s="1"/>
  <c r="J141" i="2"/>
  <c r="J149" i="2" s="1"/>
  <c r="H141" i="2"/>
  <c r="H149" i="2" s="1"/>
  <c r="F141" i="2"/>
  <c r="F149" i="2" s="1"/>
  <c r="D141" i="2"/>
  <c r="D149" i="2" s="1"/>
  <c r="O134" i="2"/>
  <c r="O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O131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O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B127" i="2" s="1"/>
  <c r="B135" i="2" s="1"/>
  <c r="N127" i="2"/>
  <c r="L127" i="2"/>
  <c r="L135" i="2" s="1"/>
  <c r="J127" i="2"/>
  <c r="J135" i="2" s="1"/>
  <c r="H127" i="2"/>
  <c r="H135" i="2" s="1"/>
  <c r="F127" i="2"/>
  <c r="F135" i="2" s="1"/>
  <c r="D127" i="2"/>
  <c r="D135" i="2" s="1"/>
  <c r="B116" i="2"/>
  <c r="O118" i="2"/>
  <c r="O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O114" i="2"/>
  <c r="O111" i="2"/>
  <c r="N110" i="2"/>
  <c r="N109" i="2" s="1"/>
  <c r="M110" i="2"/>
  <c r="L110" i="2"/>
  <c r="L109" i="2" s="1"/>
  <c r="K110" i="2"/>
  <c r="K109" i="2" s="1"/>
  <c r="J110" i="2"/>
  <c r="J109" i="2" s="1"/>
  <c r="I110" i="2"/>
  <c r="I109" i="2" s="1"/>
  <c r="H110" i="2"/>
  <c r="H109" i="2" s="1"/>
  <c r="G110" i="2"/>
  <c r="G109" i="2" s="1"/>
  <c r="F110" i="2"/>
  <c r="F109" i="2" s="1"/>
  <c r="E110" i="2"/>
  <c r="E109" i="2" s="1"/>
  <c r="D110" i="2"/>
  <c r="D109" i="2" s="1"/>
  <c r="C110" i="2"/>
  <c r="C109" i="2" s="1"/>
  <c r="B110" i="2"/>
  <c r="M109" i="2"/>
  <c r="O103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O101" i="2"/>
  <c r="N100" i="2"/>
  <c r="N104" i="2" s="1"/>
  <c r="M100" i="2"/>
  <c r="L100" i="2"/>
  <c r="L104" i="2" s="1"/>
  <c r="K100" i="2"/>
  <c r="K104" i="2" s="1"/>
  <c r="J100" i="2"/>
  <c r="J104" i="2" s="1"/>
  <c r="I100" i="2"/>
  <c r="I104" i="2" s="1"/>
  <c r="H100" i="2"/>
  <c r="H104" i="2" s="1"/>
  <c r="G100" i="2"/>
  <c r="F100" i="2"/>
  <c r="F104" i="2" s="1"/>
  <c r="E100" i="2"/>
  <c r="D100" i="2"/>
  <c r="D104" i="2" s="1"/>
  <c r="C100" i="2"/>
  <c r="B100" i="2"/>
  <c r="O94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O92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O83" i="2"/>
  <c r="C82" i="2"/>
  <c r="D82" i="2"/>
  <c r="E82" i="2"/>
  <c r="F82" i="2"/>
  <c r="G82" i="2"/>
  <c r="H82" i="2"/>
  <c r="I82" i="2"/>
  <c r="J82" i="2"/>
  <c r="K82" i="2"/>
  <c r="L82" i="2"/>
  <c r="M82" i="2"/>
  <c r="N82" i="2"/>
  <c r="B82" i="2"/>
  <c r="O85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O76" i="2"/>
  <c r="O74" i="2"/>
  <c r="C73" i="2"/>
  <c r="D73" i="2"/>
  <c r="E73" i="2"/>
  <c r="F73" i="2"/>
  <c r="G73" i="2"/>
  <c r="H73" i="2"/>
  <c r="I73" i="2"/>
  <c r="J73" i="2"/>
  <c r="K73" i="2"/>
  <c r="L73" i="2"/>
  <c r="M73" i="2"/>
  <c r="N73" i="2"/>
  <c r="B73" i="2"/>
  <c r="N75" i="2"/>
  <c r="M75" i="2"/>
  <c r="L75" i="2"/>
  <c r="K75" i="2"/>
  <c r="K77" i="2" s="1"/>
  <c r="J75" i="2"/>
  <c r="I75" i="2"/>
  <c r="H75" i="2"/>
  <c r="G75" i="2"/>
  <c r="F75" i="2"/>
  <c r="E75" i="2"/>
  <c r="D75" i="2"/>
  <c r="C75" i="2"/>
  <c r="B75" i="2"/>
  <c r="M77" i="2"/>
  <c r="O65" i="2"/>
  <c r="O64" i="2"/>
  <c r="C63" i="2"/>
  <c r="D63" i="2"/>
  <c r="E63" i="2"/>
  <c r="F63" i="2"/>
  <c r="G63" i="2"/>
  <c r="H63" i="2"/>
  <c r="I63" i="2"/>
  <c r="J63" i="2"/>
  <c r="K63" i="2"/>
  <c r="L63" i="2"/>
  <c r="M63" i="2"/>
  <c r="N63" i="2"/>
  <c r="B63" i="2"/>
  <c r="O59" i="2"/>
  <c r="O60" i="2"/>
  <c r="O61" i="2"/>
  <c r="O62" i="2"/>
  <c r="O53" i="2"/>
  <c r="O54" i="2"/>
  <c r="O55" i="2"/>
  <c r="O56" i="2"/>
  <c r="O52" i="2"/>
  <c r="C57" i="2"/>
  <c r="D57" i="2"/>
  <c r="E57" i="2"/>
  <c r="F57" i="2"/>
  <c r="G57" i="2"/>
  <c r="H57" i="2"/>
  <c r="I57" i="2"/>
  <c r="J57" i="2"/>
  <c r="K57" i="2"/>
  <c r="L57" i="2"/>
  <c r="M57" i="2"/>
  <c r="N57" i="2"/>
  <c r="B57" i="2"/>
  <c r="C51" i="2"/>
  <c r="D51" i="2"/>
  <c r="E51" i="2"/>
  <c r="F51" i="2"/>
  <c r="G51" i="2"/>
  <c r="H51" i="2"/>
  <c r="I51" i="2"/>
  <c r="J51" i="2"/>
  <c r="K51" i="2"/>
  <c r="L51" i="2"/>
  <c r="M51" i="2"/>
  <c r="N51" i="2"/>
  <c r="B51" i="2"/>
  <c r="D77" i="2" l="1"/>
  <c r="L77" i="2"/>
  <c r="J77" i="2"/>
  <c r="O144" i="2"/>
  <c r="N135" i="2"/>
  <c r="O146" i="2"/>
  <c r="F77" i="2"/>
  <c r="I77" i="2"/>
  <c r="E77" i="2"/>
  <c r="C77" i="2"/>
  <c r="D86" i="2"/>
  <c r="F86" i="2"/>
  <c r="H86" i="2"/>
  <c r="J86" i="2"/>
  <c r="L86" i="2"/>
  <c r="Q23" i="4"/>
  <c r="I119" i="2"/>
  <c r="O113" i="2"/>
  <c r="C141" i="2"/>
  <c r="C149" i="2" s="1"/>
  <c r="D119" i="2"/>
  <c r="F119" i="2"/>
  <c r="H119" i="2"/>
  <c r="J119" i="2"/>
  <c r="N119" i="2"/>
  <c r="B86" i="2"/>
  <c r="K86" i="2"/>
  <c r="I86" i="2"/>
  <c r="N86" i="2"/>
  <c r="O82" i="2"/>
  <c r="G86" i="2"/>
  <c r="E86" i="2"/>
  <c r="C86" i="2"/>
  <c r="C95" i="2"/>
  <c r="O91" i="2"/>
  <c r="O128" i="2"/>
  <c r="C127" i="2"/>
  <c r="C135" i="2" s="1"/>
  <c r="E127" i="2"/>
  <c r="E135" i="2" s="1"/>
  <c r="G127" i="2"/>
  <c r="G135" i="2" s="1"/>
  <c r="K127" i="2"/>
  <c r="K135" i="2" s="1"/>
  <c r="M127" i="2"/>
  <c r="M135" i="2" s="1"/>
  <c r="B77" i="2"/>
  <c r="G77" i="2"/>
  <c r="H77" i="2"/>
  <c r="Q19" i="4"/>
  <c r="E157" i="5"/>
  <c r="L110" i="4"/>
  <c r="L113" i="4" s="1"/>
  <c r="G110" i="4"/>
  <c r="G113" i="4" s="1"/>
  <c r="P110" i="4"/>
  <c r="P113" i="4" s="1"/>
  <c r="N110" i="4"/>
  <c r="N113" i="4" s="1"/>
  <c r="J110" i="4"/>
  <c r="J113" i="4" s="1"/>
  <c r="H110" i="4"/>
  <c r="H113" i="4" s="1"/>
  <c r="E110" i="4"/>
  <c r="E113" i="4" s="1"/>
  <c r="F110" i="4"/>
  <c r="Q76" i="4"/>
  <c r="D113" i="4"/>
  <c r="O100" i="2"/>
  <c r="C104" i="2"/>
  <c r="P157" i="5"/>
  <c r="P160" i="5" s="1"/>
  <c r="Q19" i="5"/>
  <c r="H157" i="5"/>
  <c r="H160" i="5" s="1"/>
  <c r="O113" i="4"/>
  <c r="M113" i="4"/>
  <c r="B104" i="2"/>
  <c r="N160" i="5"/>
  <c r="D160" i="5"/>
  <c r="G149" i="2"/>
  <c r="O149" i="2" s="1"/>
  <c r="P149" i="2" s="1"/>
  <c r="Q126" i="5"/>
  <c r="Q56" i="5"/>
  <c r="Q101" i="4"/>
  <c r="I113" i="4"/>
  <c r="M86" i="2"/>
  <c r="O160" i="5"/>
  <c r="J160" i="5"/>
  <c r="F160" i="5"/>
  <c r="K160" i="5"/>
  <c r="I160" i="5"/>
  <c r="Q92" i="4"/>
  <c r="G104" i="2"/>
  <c r="E104" i="2"/>
  <c r="O75" i="2"/>
  <c r="G160" i="5"/>
  <c r="Q57" i="4"/>
  <c r="M95" i="2"/>
  <c r="K95" i="2"/>
  <c r="I95" i="2"/>
  <c r="G95" i="2"/>
  <c r="E95" i="2"/>
  <c r="L119" i="2"/>
  <c r="M119" i="2"/>
  <c r="K119" i="2"/>
  <c r="G119" i="2"/>
  <c r="E119" i="2"/>
  <c r="C119" i="2"/>
  <c r="O132" i="2"/>
  <c r="I127" i="2"/>
  <c r="I135" i="2" s="1"/>
  <c r="O141" i="2"/>
  <c r="O130" i="2"/>
  <c r="M50" i="2"/>
  <c r="M66" i="2" s="1"/>
  <c r="K50" i="2"/>
  <c r="K66" i="2" s="1"/>
  <c r="I50" i="2"/>
  <c r="I66" i="2" s="1"/>
  <c r="G50" i="2"/>
  <c r="G66" i="2" s="1"/>
  <c r="E50" i="2"/>
  <c r="E66" i="2" s="1"/>
  <c r="C50" i="2"/>
  <c r="M104" i="2"/>
  <c r="O63" i="2"/>
  <c r="O73" i="2"/>
  <c r="N50" i="2"/>
  <c r="N66" i="2" s="1"/>
  <c r="L50" i="2"/>
  <c r="L66" i="2" s="1"/>
  <c r="J50" i="2"/>
  <c r="J66" i="2" s="1"/>
  <c r="H50" i="2"/>
  <c r="H66" i="2" s="1"/>
  <c r="F50" i="2"/>
  <c r="F66" i="2" s="1"/>
  <c r="D50" i="2"/>
  <c r="D66" i="2" s="1"/>
  <c r="O57" i="2"/>
  <c r="O84" i="2"/>
  <c r="D95" i="2"/>
  <c r="F95" i="2"/>
  <c r="H95" i="2"/>
  <c r="J95" i="2"/>
  <c r="L95" i="2"/>
  <c r="N95" i="2"/>
  <c r="O93" i="2"/>
  <c r="O102" i="2"/>
  <c r="O110" i="2"/>
  <c r="O116" i="2"/>
  <c r="B109" i="2"/>
  <c r="B119" i="2" s="1"/>
  <c r="O109" i="2"/>
  <c r="B95" i="2"/>
  <c r="C66" i="2"/>
  <c r="O51" i="2"/>
  <c r="N77" i="2"/>
  <c r="B50" i="2"/>
  <c r="B66" i="2" s="1"/>
  <c r="O43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O41" i="2"/>
  <c r="O40" i="2" s="1"/>
  <c r="N40" i="2"/>
  <c r="N44" i="2" s="1"/>
  <c r="M40" i="2"/>
  <c r="M44" i="2" s="1"/>
  <c r="L40" i="2"/>
  <c r="L44" i="2" s="1"/>
  <c r="K40" i="2"/>
  <c r="K44" i="2" s="1"/>
  <c r="J40" i="2"/>
  <c r="J44" i="2" s="1"/>
  <c r="I40" i="2"/>
  <c r="I44" i="2" s="1"/>
  <c r="H40" i="2"/>
  <c r="H44" i="2" s="1"/>
  <c r="G40" i="2"/>
  <c r="G44" i="2" s="1"/>
  <c r="F40" i="2"/>
  <c r="F44" i="2" s="1"/>
  <c r="E40" i="2"/>
  <c r="E44" i="2" s="1"/>
  <c r="D40" i="2"/>
  <c r="D44" i="2" s="1"/>
  <c r="C40" i="2"/>
  <c r="B40" i="2"/>
  <c r="B44" i="2" s="1"/>
  <c r="O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O32" i="2"/>
  <c r="O31" i="2" s="1"/>
  <c r="N31" i="2"/>
  <c r="M31" i="2"/>
  <c r="M35" i="2" s="1"/>
  <c r="L31" i="2"/>
  <c r="L35" i="2" s="1"/>
  <c r="K31" i="2"/>
  <c r="K35" i="2" s="1"/>
  <c r="J31" i="2"/>
  <c r="J35" i="2" s="1"/>
  <c r="I31" i="2"/>
  <c r="I35" i="2" s="1"/>
  <c r="H31" i="2"/>
  <c r="H35" i="2" s="1"/>
  <c r="G31" i="2"/>
  <c r="G35" i="2" s="1"/>
  <c r="F31" i="2"/>
  <c r="F35" i="2" s="1"/>
  <c r="E31" i="2"/>
  <c r="E35" i="2" s="1"/>
  <c r="D31" i="2"/>
  <c r="D35" i="2" s="1"/>
  <c r="C31" i="2"/>
  <c r="C35" i="2" s="1"/>
  <c r="B31" i="2"/>
  <c r="O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2" i="2"/>
  <c r="O21" i="2" s="1"/>
  <c r="N21" i="2"/>
  <c r="N25" i="2" s="1"/>
  <c r="M21" i="2"/>
  <c r="L21" i="2"/>
  <c r="K21" i="2"/>
  <c r="J21" i="2"/>
  <c r="J25" i="2" s="1"/>
  <c r="I21" i="2"/>
  <c r="I25" i="2" s="1"/>
  <c r="H21" i="2"/>
  <c r="H25" i="2" s="1"/>
  <c r="G21" i="2"/>
  <c r="F21" i="2"/>
  <c r="F25" i="2" s="1"/>
  <c r="E21" i="2"/>
  <c r="E25" i="2" s="1"/>
  <c r="D21" i="2"/>
  <c r="D25" i="2" s="1"/>
  <c r="C21" i="2"/>
  <c r="B21" i="2"/>
  <c r="O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O13" i="2"/>
  <c r="O12" i="2" s="1"/>
  <c r="N12" i="2"/>
  <c r="N16" i="2" s="1"/>
  <c r="M12" i="2"/>
  <c r="M16" i="2" s="1"/>
  <c r="L12" i="2"/>
  <c r="L16" i="2" s="1"/>
  <c r="K12" i="2"/>
  <c r="J12" i="2"/>
  <c r="I12" i="2"/>
  <c r="H12" i="2"/>
  <c r="G12" i="2"/>
  <c r="F12" i="2"/>
  <c r="E12" i="2"/>
  <c r="E16" i="2" s="1"/>
  <c r="D12" i="2"/>
  <c r="C12" i="2"/>
  <c r="C16" i="2" s="1"/>
  <c r="B12" i="2"/>
  <c r="C25" i="2" l="1"/>
  <c r="O104" i="2"/>
  <c r="O86" i="2"/>
  <c r="O127" i="2"/>
  <c r="O77" i="2"/>
  <c r="O95" i="2"/>
  <c r="N35" i="2"/>
  <c r="L25" i="2"/>
  <c r="G16" i="2"/>
  <c r="I16" i="2"/>
  <c r="K16" i="2"/>
  <c r="D16" i="2"/>
  <c r="F16" i="2"/>
  <c r="H16" i="2"/>
  <c r="J16" i="2"/>
  <c r="F113" i="4"/>
  <c r="Q110" i="4"/>
  <c r="Q157" i="5"/>
  <c r="O119" i="2"/>
  <c r="P119" i="2" s="1"/>
  <c r="Q113" i="4"/>
  <c r="C44" i="2"/>
  <c r="E160" i="5"/>
  <c r="Q160" i="5" s="1"/>
  <c r="G25" i="2"/>
  <c r="O66" i="2"/>
  <c r="P66" i="2" s="1"/>
  <c r="O135" i="2"/>
  <c r="P135" i="2" s="1"/>
  <c r="O23" i="2"/>
  <c r="O25" i="2" s="1"/>
  <c r="O33" i="2"/>
  <c r="O35" i="2" s="1"/>
  <c r="O42" i="2"/>
  <c r="O50" i="2"/>
  <c r="O14" i="2"/>
  <c r="O16" i="2" s="1"/>
  <c r="K25" i="2"/>
  <c r="M25" i="2"/>
  <c r="B35" i="2"/>
  <c r="B25" i="2"/>
  <c r="B16" i="2"/>
  <c r="O196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B195" i="1"/>
  <c r="O194" i="1"/>
  <c r="N193" i="1"/>
  <c r="N197" i="1" s="1"/>
  <c r="M193" i="1"/>
  <c r="M197" i="1" s="1"/>
  <c r="L193" i="1"/>
  <c r="L197" i="1" s="1"/>
  <c r="K193" i="1"/>
  <c r="K197" i="1" s="1"/>
  <c r="J193" i="1"/>
  <c r="J197" i="1" s="1"/>
  <c r="I193" i="1"/>
  <c r="I197" i="1" s="1"/>
  <c r="H193" i="1"/>
  <c r="H197" i="1" s="1"/>
  <c r="G193" i="1"/>
  <c r="G197" i="1" s="1"/>
  <c r="F193" i="1"/>
  <c r="F197" i="1" s="1"/>
  <c r="E193" i="1"/>
  <c r="E197" i="1" s="1"/>
  <c r="D193" i="1"/>
  <c r="D197" i="1" s="1"/>
  <c r="C193" i="1"/>
  <c r="C197" i="1" s="1"/>
  <c r="O197" i="1" s="1"/>
  <c r="B193" i="1"/>
  <c r="B197" i="1" s="1"/>
  <c r="O178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B177" i="1"/>
  <c r="O176" i="1"/>
  <c r="N175" i="1"/>
  <c r="N179" i="1" s="1"/>
  <c r="M175" i="1"/>
  <c r="M179" i="1" s="1"/>
  <c r="L175" i="1"/>
  <c r="L179" i="1" s="1"/>
  <c r="K175" i="1"/>
  <c r="K179" i="1" s="1"/>
  <c r="J175" i="1"/>
  <c r="J179" i="1" s="1"/>
  <c r="I175" i="1"/>
  <c r="I179" i="1" s="1"/>
  <c r="H175" i="1"/>
  <c r="H179" i="1" s="1"/>
  <c r="G175" i="1"/>
  <c r="G179" i="1" s="1"/>
  <c r="F175" i="1"/>
  <c r="F179" i="1" s="1"/>
  <c r="E175" i="1"/>
  <c r="E179" i="1" s="1"/>
  <c r="D175" i="1"/>
  <c r="D179" i="1" s="1"/>
  <c r="C175" i="1"/>
  <c r="C179" i="1" s="1"/>
  <c r="B175" i="1"/>
  <c r="B179" i="1" s="1"/>
  <c r="O169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B168" i="1"/>
  <c r="O167" i="1"/>
  <c r="N166" i="1"/>
  <c r="N170" i="1" s="1"/>
  <c r="M166" i="1"/>
  <c r="M170" i="1" s="1"/>
  <c r="L166" i="1"/>
  <c r="L170" i="1" s="1"/>
  <c r="K166" i="1"/>
  <c r="K170" i="1" s="1"/>
  <c r="J166" i="1"/>
  <c r="J170" i="1" s="1"/>
  <c r="I166" i="1"/>
  <c r="I170" i="1" s="1"/>
  <c r="H166" i="1"/>
  <c r="H170" i="1" s="1"/>
  <c r="G166" i="1"/>
  <c r="G170" i="1" s="1"/>
  <c r="F166" i="1"/>
  <c r="F170" i="1" s="1"/>
  <c r="E166" i="1"/>
  <c r="E170" i="1" s="1"/>
  <c r="D166" i="1"/>
  <c r="D170" i="1" s="1"/>
  <c r="C166" i="1"/>
  <c r="C170" i="1" s="1"/>
  <c r="O170" i="1" s="1"/>
  <c r="B166" i="1"/>
  <c r="B170" i="1" s="1"/>
  <c r="O160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B159" i="1"/>
  <c r="O158" i="1"/>
  <c r="N157" i="1"/>
  <c r="N161" i="1" s="1"/>
  <c r="M157" i="1"/>
  <c r="M161" i="1" s="1"/>
  <c r="L157" i="1"/>
  <c r="L161" i="1" s="1"/>
  <c r="K157" i="1"/>
  <c r="K161" i="1" s="1"/>
  <c r="J157" i="1"/>
  <c r="J161" i="1" s="1"/>
  <c r="I157" i="1"/>
  <c r="I161" i="1" s="1"/>
  <c r="H157" i="1"/>
  <c r="H161" i="1" s="1"/>
  <c r="G157" i="1"/>
  <c r="G161" i="1" s="1"/>
  <c r="F157" i="1"/>
  <c r="F161" i="1" s="1"/>
  <c r="E157" i="1"/>
  <c r="E161" i="1" s="1"/>
  <c r="D157" i="1"/>
  <c r="D161" i="1" s="1"/>
  <c r="C157" i="1"/>
  <c r="C161" i="1" s="1"/>
  <c r="B157" i="1"/>
  <c r="B161" i="1" s="1"/>
  <c r="O151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N148" i="1"/>
  <c r="N152" i="1" s="1"/>
  <c r="M148" i="1"/>
  <c r="M152" i="1" s="1"/>
  <c r="L148" i="1"/>
  <c r="L152" i="1" s="1"/>
  <c r="K148" i="1"/>
  <c r="K152" i="1" s="1"/>
  <c r="J148" i="1"/>
  <c r="J152" i="1" s="1"/>
  <c r="I148" i="1"/>
  <c r="I152" i="1" s="1"/>
  <c r="H148" i="1"/>
  <c r="H152" i="1" s="1"/>
  <c r="G148" i="1"/>
  <c r="G152" i="1" s="1"/>
  <c r="F148" i="1"/>
  <c r="F152" i="1" s="1"/>
  <c r="E148" i="1"/>
  <c r="E152" i="1" s="1"/>
  <c r="D148" i="1"/>
  <c r="D152" i="1" s="1"/>
  <c r="C148" i="1"/>
  <c r="C152" i="1" s="1"/>
  <c r="B148" i="1"/>
  <c r="B152" i="1" s="1"/>
  <c r="O141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8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O131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B130" i="1"/>
  <c r="O129" i="1"/>
  <c r="N128" i="1"/>
  <c r="N132" i="1" s="1"/>
  <c r="M128" i="1"/>
  <c r="M132" i="1" s="1"/>
  <c r="L128" i="1"/>
  <c r="L132" i="1" s="1"/>
  <c r="K128" i="1"/>
  <c r="K132" i="1" s="1"/>
  <c r="J128" i="1"/>
  <c r="J132" i="1" s="1"/>
  <c r="I128" i="1"/>
  <c r="I132" i="1" s="1"/>
  <c r="H128" i="1"/>
  <c r="H132" i="1" s="1"/>
  <c r="G128" i="1"/>
  <c r="G132" i="1" s="1"/>
  <c r="F128" i="1"/>
  <c r="F132" i="1" s="1"/>
  <c r="E128" i="1"/>
  <c r="E132" i="1" s="1"/>
  <c r="D128" i="1"/>
  <c r="D132" i="1" s="1"/>
  <c r="C128" i="1"/>
  <c r="C132" i="1" s="1"/>
  <c r="O132" i="1" s="1"/>
  <c r="B128" i="1"/>
  <c r="B132" i="1" s="1"/>
  <c r="O122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B121" i="1"/>
  <c r="O120" i="1"/>
  <c r="N119" i="1"/>
  <c r="N123" i="1" s="1"/>
  <c r="M119" i="1"/>
  <c r="M123" i="1" s="1"/>
  <c r="L119" i="1"/>
  <c r="L123" i="1" s="1"/>
  <c r="K119" i="1"/>
  <c r="K123" i="1" s="1"/>
  <c r="J119" i="1"/>
  <c r="J123" i="1" s="1"/>
  <c r="I119" i="1"/>
  <c r="I123" i="1" s="1"/>
  <c r="H119" i="1"/>
  <c r="H123" i="1" s="1"/>
  <c r="G119" i="1"/>
  <c r="G123" i="1" s="1"/>
  <c r="F119" i="1"/>
  <c r="F123" i="1" s="1"/>
  <c r="E119" i="1"/>
  <c r="E123" i="1" s="1"/>
  <c r="D119" i="1"/>
  <c r="D123" i="1" s="1"/>
  <c r="C119" i="1"/>
  <c r="C123" i="1" s="1"/>
  <c r="B119" i="1"/>
  <c r="B123" i="1" s="1"/>
  <c r="O113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B112" i="1"/>
  <c r="O111" i="1"/>
  <c r="N110" i="1"/>
  <c r="N114" i="1" s="1"/>
  <c r="M110" i="1"/>
  <c r="M114" i="1" s="1"/>
  <c r="L110" i="1"/>
  <c r="L114" i="1" s="1"/>
  <c r="K110" i="1"/>
  <c r="K114" i="1" s="1"/>
  <c r="J110" i="1"/>
  <c r="J114" i="1" s="1"/>
  <c r="I110" i="1"/>
  <c r="I114" i="1" s="1"/>
  <c r="H110" i="1"/>
  <c r="H114" i="1" s="1"/>
  <c r="G110" i="1"/>
  <c r="G114" i="1" s="1"/>
  <c r="F110" i="1"/>
  <c r="F114" i="1" s="1"/>
  <c r="E110" i="1"/>
  <c r="E114" i="1" s="1"/>
  <c r="D110" i="1"/>
  <c r="D114" i="1" s="1"/>
  <c r="C110" i="1"/>
  <c r="C114" i="1" s="1"/>
  <c r="B110" i="1"/>
  <c r="B114" i="1" s="1"/>
  <c r="O104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B103" i="1"/>
  <c r="O102" i="1"/>
  <c r="N101" i="1"/>
  <c r="N105" i="1" s="1"/>
  <c r="M101" i="1"/>
  <c r="M105" i="1" s="1"/>
  <c r="L101" i="1"/>
  <c r="L105" i="1" s="1"/>
  <c r="K101" i="1"/>
  <c r="K105" i="1" s="1"/>
  <c r="J101" i="1"/>
  <c r="J105" i="1" s="1"/>
  <c r="I101" i="1"/>
  <c r="I105" i="1" s="1"/>
  <c r="H101" i="1"/>
  <c r="H105" i="1" s="1"/>
  <c r="G101" i="1"/>
  <c r="G105" i="1" s="1"/>
  <c r="F101" i="1"/>
  <c r="F105" i="1" s="1"/>
  <c r="E101" i="1"/>
  <c r="E105" i="1" s="1"/>
  <c r="D101" i="1"/>
  <c r="D105" i="1" s="1"/>
  <c r="C101" i="1"/>
  <c r="C105" i="1" s="1"/>
  <c r="O105" i="1" s="1"/>
  <c r="B101" i="1"/>
  <c r="B105" i="1" s="1"/>
  <c r="O95" i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B94" i="1"/>
  <c r="O93" i="1"/>
  <c r="N92" i="1"/>
  <c r="N96" i="1" s="1"/>
  <c r="M92" i="1"/>
  <c r="M96" i="1" s="1"/>
  <c r="L92" i="1"/>
  <c r="L96" i="1" s="1"/>
  <c r="K92" i="1"/>
  <c r="K96" i="1" s="1"/>
  <c r="J92" i="1"/>
  <c r="J96" i="1" s="1"/>
  <c r="I92" i="1"/>
  <c r="I96" i="1" s="1"/>
  <c r="H92" i="1"/>
  <c r="H96" i="1" s="1"/>
  <c r="G92" i="1"/>
  <c r="G96" i="1" s="1"/>
  <c r="F92" i="1"/>
  <c r="F96" i="1" s="1"/>
  <c r="E92" i="1"/>
  <c r="E96" i="1" s="1"/>
  <c r="D92" i="1"/>
  <c r="D96" i="1" s="1"/>
  <c r="C92" i="1"/>
  <c r="C96" i="1" s="1"/>
  <c r="O96" i="1" s="1"/>
  <c r="B92" i="1"/>
  <c r="B96" i="1" s="1"/>
  <c r="B85" i="1"/>
  <c r="O86" i="1"/>
  <c r="N85" i="1"/>
  <c r="M85" i="1"/>
  <c r="L85" i="1"/>
  <c r="K85" i="1"/>
  <c r="J85" i="1"/>
  <c r="I85" i="1"/>
  <c r="H85" i="1"/>
  <c r="G85" i="1"/>
  <c r="F85" i="1"/>
  <c r="E85" i="1"/>
  <c r="D85" i="1"/>
  <c r="C85" i="1"/>
  <c r="O84" i="1"/>
  <c r="N83" i="1"/>
  <c r="M83" i="1"/>
  <c r="L83" i="1"/>
  <c r="K83" i="1"/>
  <c r="K87" i="1" s="1"/>
  <c r="J83" i="1"/>
  <c r="I83" i="1"/>
  <c r="I87" i="1" s="1"/>
  <c r="H83" i="1"/>
  <c r="G83" i="1"/>
  <c r="G87" i="1" s="1"/>
  <c r="F83" i="1"/>
  <c r="E83" i="1"/>
  <c r="E87" i="1" s="1"/>
  <c r="D83" i="1"/>
  <c r="C83" i="1"/>
  <c r="C87" i="1" s="1"/>
  <c r="B83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B76" i="1"/>
  <c r="O75" i="1"/>
  <c r="N74" i="1"/>
  <c r="N78" i="1" s="1"/>
  <c r="M74" i="1"/>
  <c r="M78" i="1" s="1"/>
  <c r="L74" i="1"/>
  <c r="L78" i="1" s="1"/>
  <c r="K74" i="1"/>
  <c r="K78" i="1" s="1"/>
  <c r="J74" i="1"/>
  <c r="J78" i="1" s="1"/>
  <c r="I74" i="1"/>
  <c r="I78" i="1" s="1"/>
  <c r="H74" i="1"/>
  <c r="H78" i="1" s="1"/>
  <c r="G74" i="1"/>
  <c r="G78" i="1" s="1"/>
  <c r="F74" i="1"/>
  <c r="F78" i="1" s="1"/>
  <c r="E74" i="1"/>
  <c r="E78" i="1" s="1"/>
  <c r="D74" i="1"/>
  <c r="D78" i="1" s="1"/>
  <c r="C74" i="1"/>
  <c r="C78" i="1" s="1"/>
  <c r="B74" i="1"/>
  <c r="B78" i="1" s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B67" i="1"/>
  <c r="O66" i="1"/>
  <c r="N65" i="1"/>
  <c r="N69" i="1" s="1"/>
  <c r="M65" i="1"/>
  <c r="M69" i="1" s="1"/>
  <c r="L65" i="1"/>
  <c r="L69" i="1" s="1"/>
  <c r="K65" i="1"/>
  <c r="K69" i="1" s="1"/>
  <c r="J65" i="1"/>
  <c r="J69" i="1" s="1"/>
  <c r="I65" i="1"/>
  <c r="I69" i="1" s="1"/>
  <c r="H65" i="1"/>
  <c r="H69" i="1" s="1"/>
  <c r="G65" i="1"/>
  <c r="G69" i="1" s="1"/>
  <c r="F65" i="1"/>
  <c r="F69" i="1" s="1"/>
  <c r="E65" i="1"/>
  <c r="E69" i="1" s="1"/>
  <c r="D65" i="1"/>
  <c r="D69" i="1" s="1"/>
  <c r="C65" i="1"/>
  <c r="C69" i="1" s="1"/>
  <c r="B65" i="1"/>
  <c r="B69" i="1" s="1"/>
  <c r="O59" i="1"/>
  <c r="N58" i="1"/>
  <c r="M58" i="1"/>
  <c r="L58" i="1"/>
  <c r="K58" i="1"/>
  <c r="J58" i="1"/>
  <c r="I58" i="1"/>
  <c r="H58" i="1"/>
  <c r="G58" i="1"/>
  <c r="F58" i="1"/>
  <c r="E58" i="1"/>
  <c r="D58" i="1"/>
  <c r="C58" i="1"/>
  <c r="O58" i="1" s="1"/>
  <c r="B58" i="1"/>
  <c r="O57" i="1"/>
  <c r="N56" i="1"/>
  <c r="N60" i="1" s="1"/>
  <c r="M56" i="1"/>
  <c r="M60" i="1" s="1"/>
  <c r="L56" i="1"/>
  <c r="L60" i="1" s="1"/>
  <c r="K56" i="1"/>
  <c r="K60" i="1" s="1"/>
  <c r="J56" i="1"/>
  <c r="J60" i="1" s="1"/>
  <c r="I56" i="1"/>
  <c r="I60" i="1" s="1"/>
  <c r="H56" i="1"/>
  <c r="H60" i="1" s="1"/>
  <c r="G56" i="1"/>
  <c r="G60" i="1" s="1"/>
  <c r="F56" i="1"/>
  <c r="F60" i="1" s="1"/>
  <c r="E56" i="1"/>
  <c r="E60" i="1" s="1"/>
  <c r="D56" i="1"/>
  <c r="D60" i="1" s="1"/>
  <c r="C56" i="1"/>
  <c r="C60" i="1" s="1"/>
  <c r="B56" i="1"/>
  <c r="B60" i="1" s="1"/>
  <c r="O50" i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B49" i="1"/>
  <c r="O48" i="1"/>
  <c r="N47" i="1"/>
  <c r="N51" i="1" s="1"/>
  <c r="M47" i="1"/>
  <c r="M51" i="1" s="1"/>
  <c r="L47" i="1"/>
  <c r="L51" i="1" s="1"/>
  <c r="K47" i="1"/>
  <c r="K51" i="1" s="1"/>
  <c r="J47" i="1"/>
  <c r="J51" i="1" s="1"/>
  <c r="I47" i="1"/>
  <c r="I51" i="1" s="1"/>
  <c r="H47" i="1"/>
  <c r="H51" i="1" s="1"/>
  <c r="G47" i="1"/>
  <c r="G51" i="1" s="1"/>
  <c r="F47" i="1"/>
  <c r="F51" i="1" s="1"/>
  <c r="E47" i="1"/>
  <c r="E51" i="1" s="1"/>
  <c r="D47" i="1"/>
  <c r="D51" i="1" s="1"/>
  <c r="C47" i="1"/>
  <c r="C51" i="1" s="1"/>
  <c r="B47" i="1"/>
  <c r="B51" i="1" s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B40" i="1"/>
  <c r="O39" i="1"/>
  <c r="N38" i="1"/>
  <c r="N42" i="1" s="1"/>
  <c r="M38" i="1"/>
  <c r="M42" i="1" s="1"/>
  <c r="L38" i="1"/>
  <c r="L42" i="1" s="1"/>
  <c r="K38" i="1"/>
  <c r="K42" i="1" s="1"/>
  <c r="J38" i="1"/>
  <c r="J42" i="1" s="1"/>
  <c r="I38" i="1"/>
  <c r="I42" i="1" s="1"/>
  <c r="H38" i="1"/>
  <c r="H42" i="1" s="1"/>
  <c r="G38" i="1"/>
  <c r="G42" i="1" s="1"/>
  <c r="F38" i="1"/>
  <c r="F42" i="1" s="1"/>
  <c r="E38" i="1"/>
  <c r="E42" i="1" s="1"/>
  <c r="D38" i="1"/>
  <c r="D42" i="1" s="1"/>
  <c r="C38" i="1"/>
  <c r="C42" i="1" s="1"/>
  <c r="B38" i="1"/>
  <c r="B42" i="1" s="1"/>
  <c r="O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29" i="1"/>
  <c r="N33" i="1" s="1"/>
  <c r="M29" i="1"/>
  <c r="M33" i="1" s="1"/>
  <c r="L29" i="1"/>
  <c r="L33" i="1" s="1"/>
  <c r="K29" i="1"/>
  <c r="K33" i="1" s="1"/>
  <c r="J29" i="1"/>
  <c r="J33" i="1" s="1"/>
  <c r="I29" i="1"/>
  <c r="I33" i="1" s="1"/>
  <c r="H29" i="1"/>
  <c r="H33" i="1" s="1"/>
  <c r="G29" i="1"/>
  <c r="G33" i="1" s="1"/>
  <c r="F29" i="1"/>
  <c r="F33" i="1" s="1"/>
  <c r="E29" i="1"/>
  <c r="E33" i="1" s="1"/>
  <c r="D29" i="1"/>
  <c r="D33" i="1" s="1"/>
  <c r="C29" i="1"/>
  <c r="C33" i="1" s="1"/>
  <c r="B29" i="1"/>
  <c r="B33" i="1" s="1"/>
  <c r="C20" i="1"/>
  <c r="D20" i="1"/>
  <c r="E20" i="1"/>
  <c r="F20" i="1"/>
  <c r="G20" i="1"/>
  <c r="H20" i="1"/>
  <c r="I20" i="1"/>
  <c r="J20" i="1"/>
  <c r="K20" i="1"/>
  <c r="L20" i="1"/>
  <c r="M20" i="1"/>
  <c r="N20" i="1"/>
  <c r="B20" i="1"/>
  <c r="O21" i="1"/>
  <c r="O23" i="1"/>
  <c r="N22" i="1"/>
  <c r="N24" i="1" s="1"/>
  <c r="M22" i="1"/>
  <c r="L22" i="1"/>
  <c r="L24" i="1" s="1"/>
  <c r="K22" i="1"/>
  <c r="K24" i="1" s="1"/>
  <c r="J22" i="1"/>
  <c r="J24" i="1" s="1"/>
  <c r="I22" i="1"/>
  <c r="I24" i="1" s="1"/>
  <c r="H22" i="1"/>
  <c r="G22" i="1"/>
  <c r="F22" i="1"/>
  <c r="E22" i="1"/>
  <c r="D22" i="1"/>
  <c r="C22" i="1"/>
  <c r="B22" i="1"/>
  <c r="M24" i="1"/>
  <c r="O14" i="1"/>
  <c r="C13" i="1"/>
  <c r="D13" i="1"/>
  <c r="E13" i="1"/>
  <c r="F13" i="1"/>
  <c r="G13" i="1"/>
  <c r="H13" i="1"/>
  <c r="I13" i="1"/>
  <c r="J13" i="1"/>
  <c r="K13" i="1"/>
  <c r="L13" i="1"/>
  <c r="M13" i="1"/>
  <c r="N13" i="1"/>
  <c r="B13" i="1"/>
  <c r="O12" i="1"/>
  <c r="C11" i="1"/>
  <c r="D11" i="1"/>
  <c r="E11" i="1"/>
  <c r="F11" i="1"/>
  <c r="G11" i="1"/>
  <c r="H11" i="1"/>
  <c r="I11" i="1"/>
  <c r="J11" i="1"/>
  <c r="K11" i="1"/>
  <c r="L11" i="1"/>
  <c r="M11" i="1"/>
  <c r="N11" i="1"/>
  <c r="B11" i="1"/>
  <c r="B24" i="1" l="1"/>
  <c r="M15" i="1"/>
  <c r="K15" i="1"/>
  <c r="I15" i="1"/>
  <c r="G15" i="1"/>
  <c r="E15" i="1"/>
  <c r="C15" i="1"/>
  <c r="O142" i="1"/>
  <c r="O60" i="1"/>
  <c r="O31" i="1"/>
  <c r="B87" i="1"/>
  <c r="D87" i="1"/>
  <c r="F87" i="1"/>
  <c r="H87" i="1"/>
  <c r="J87" i="1"/>
  <c r="L87" i="1"/>
  <c r="N87" i="1"/>
  <c r="O85" i="1"/>
  <c r="O140" i="1"/>
  <c r="E24" i="1"/>
  <c r="C24" i="1"/>
  <c r="G24" i="1"/>
  <c r="D24" i="1"/>
  <c r="F24" i="1"/>
  <c r="H24" i="1"/>
  <c r="O44" i="2"/>
  <c r="N15" i="1"/>
  <c r="L15" i="1"/>
  <c r="J15" i="1"/>
  <c r="H15" i="1"/>
  <c r="F15" i="1"/>
  <c r="O78" i="1"/>
  <c r="O150" i="1"/>
  <c r="M87" i="1"/>
  <c r="O123" i="1"/>
  <c r="O42" i="1"/>
  <c r="O13" i="1"/>
  <c r="O152" i="1"/>
  <c r="O193" i="1"/>
  <c r="O179" i="1"/>
  <c r="O175" i="1"/>
  <c r="O166" i="1"/>
  <c r="O161" i="1"/>
  <c r="O157" i="1"/>
  <c r="O148" i="1"/>
  <c r="O137" i="1"/>
  <c r="O128" i="1"/>
  <c r="O119" i="1"/>
  <c r="O114" i="1"/>
  <c r="O110" i="1"/>
  <c r="O101" i="1"/>
  <c r="O92" i="1"/>
  <c r="O83" i="1"/>
  <c r="O74" i="1"/>
  <c r="O69" i="1"/>
  <c r="O65" i="1"/>
  <c r="O56" i="1"/>
  <c r="O51" i="1"/>
  <c r="O47" i="1"/>
  <c r="O38" i="1"/>
  <c r="O33" i="1"/>
  <c r="O29" i="1"/>
  <c r="D15" i="1"/>
  <c r="O11" i="1"/>
  <c r="B15" i="1"/>
  <c r="O22" i="1"/>
  <c r="O20" i="1"/>
  <c r="O24" i="1" l="1"/>
  <c r="O87" i="1"/>
  <c r="O15" i="1"/>
</calcChain>
</file>

<file path=xl/sharedStrings.xml><?xml version="1.0" encoding="utf-8"?>
<sst xmlns="http://schemas.openxmlformats.org/spreadsheetml/2006/main" count="1281" uniqueCount="301">
  <si>
    <t>Zarządu Powiatu Zduńskowolskiego</t>
  </si>
  <si>
    <t>Załącznik Nr 3</t>
  </si>
  <si>
    <t>miesiące</t>
  </si>
  <si>
    <t>PLAN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</si>
  <si>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</si>
  <si>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</si>
  <si>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</si>
  <si>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</si>
  <si>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</si>
  <si>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</si>
  <si>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</si>
  <si>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</si>
  <si>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</si>
  <si>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</si>
  <si>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</si>
  <si>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</si>
  <si>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Nazwa zadania inwestycyjnego:</t>
  </si>
  <si>
    <t>Aktywna Dolina Rzeki Warty</t>
  </si>
  <si>
    <t>Realizator: Powiat Zduńskowolski</t>
  </si>
  <si>
    <t>Planowane dochody:</t>
  </si>
  <si>
    <t>Planowane wydatki:</t>
  </si>
  <si>
    <t>Wydatki</t>
  </si>
  <si>
    <t>Dochody - wydatki</t>
  </si>
  <si>
    <t>Realizator: Powiatowy Zarząd Dróg w Zduńskiej Woli</t>
  </si>
  <si>
    <t>środki Gminy Zduńska Wola</t>
  </si>
  <si>
    <t>środki Powiatu Łaskiego</t>
  </si>
  <si>
    <t>środki Gminy Sędziejowice</t>
  </si>
  <si>
    <t>środki UE</t>
  </si>
  <si>
    <t>Przebudowa ciągu dróg powiatowych ul. Łaska- ul. Świerkowa- ul. Jodłowa- ul. Staszica- ul. Spółdzielcza</t>
  </si>
  <si>
    <t>Rozbudowa Zespołu Szkół Specjalnych im. M. Grzegorzewskiej w Zduńskiej Woli</t>
  </si>
  <si>
    <t>Realizator: Zespół Szkół Zawodowych Nr 1 w Zduńskiej Woli</t>
  </si>
  <si>
    <t>Przedsiębiorczy Powiat Zduńskowolski</t>
  </si>
  <si>
    <t>Załącznik Nr 4</t>
  </si>
  <si>
    <t>HARMONOGRAM DOCHODÓW I WYDATKÓW BUDŻETU POWIATU NA 2017 ROK w zakresie projektów "miękkich" realizowanych z udziałem środków z budżetu UE</t>
  </si>
  <si>
    <t>Nazwa projektu:</t>
  </si>
  <si>
    <t>Realizator: Zespół Szkół Specjalnych im. M. Grzegorzewskiej w Zduńskiej Woli</t>
  </si>
  <si>
    <t>Zagraniczne staże uczniowskie</t>
  </si>
  <si>
    <t>Realizator: Zespół Szkół im. K. Kałużewskiego i J. Sylli w Zduńskiej Woli</t>
  </si>
  <si>
    <t>Realizator: Zespół Szkół Elektronicznych w Zduńskiej Woli</t>
  </si>
  <si>
    <t>Miejski Obszar Funkcjonalny Zduńska Wola- Karsznice- budowa łącznika z drogą ekspresową S8 na terenie powiatu zduńskowolskiego i powiatu łaskiego</t>
  </si>
  <si>
    <t>Planowane dochody ogółem, z tego:</t>
  </si>
  <si>
    <t>Planowane dochody bieżące, w tym:</t>
  </si>
  <si>
    <t>środki Miasta Zduńska Wola</t>
  </si>
  <si>
    <t>Planowane dochody majątkowe, w tym:</t>
  </si>
  <si>
    <t>Planowane wydatki ogółem, z tego:</t>
  </si>
  <si>
    <t>Wydatki bieżące</t>
  </si>
  <si>
    <t>Wydatki majątkowe</t>
  </si>
  <si>
    <t>Planowane dochody ogółem z tego:</t>
  </si>
  <si>
    <t>Planowane wydatki ogółem z tego:</t>
  </si>
  <si>
    <t>Wyższe kwalifikacje uczniów Zespołu Szkół Elektronicznych odpowiedzią na potrzeby rynku pracy</t>
  </si>
  <si>
    <t>Wirtualna nauka- rzeczywiste umiejętności</t>
  </si>
  <si>
    <t>Bogactwo szkoły bogactwem edukacji. Kompleksowe działania na rzecz indywidualizacji pracy z uczniem z niepełnosprawnością</t>
  </si>
  <si>
    <t xml:space="preserve"> (z wyłączniem zadań majątkowych oraz realizowanych z udziałem środków z budżetu UE)</t>
  </si>
  <si>
    <t>Dział</t>
  </si>
  <si>
    <t>Nazwa działu</t>
  </si>
  <si>
    <t>Rozdział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</si>
  <si>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</si>
  <si>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</si>
  <si>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</si>
  <si>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</si>
  <si>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</si>
  <si>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</si>
  <si>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</si>
  <si>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</si>
  <si>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</si>
  <si>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</si>
  <si>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</si>
  <si>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</si>
  <si>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010</t>
  </si>
  <si>
    <t>Rolnictwo i łowiectwo</t>
  </si>
  <si>
    <t>Pozostała działalność</t>
  </si>
  <si>
    <t>01095</t>
  </si>
  <si>
    <t>020</t>
  </si>
  <si>
    <t>Leśnictwo</t>
  </si>
  <si>
    <t>02095</t>
  </si>
  <si>
    <t>050</t>
  </si>
  <si>
    <t>Rybołówstwo i rybactwo</t>
  </si>
  <si>
    <t>05095</t>
  </si>
  <si>
    <t>Transport i łączność</t>
  </si>
  <si>
    <t>Drogi publiczne powiatowe</t>
  </si>
  <si>
    <t>Gospodarka mieszkaniowa</t>
  </si>
  <si>
    <t>Gospodarka gruntami i nieruchomościami</t>
  </si>
  <si>
    <t>Dochody własne</t>
  </si>
  <si>
    <t>Dochody z zadań zleconych</t>
  </si>
  <si>
    <t>Działalność usługowa</t>
  </si>
  <si>
    <t>Nadzór budowlany</t>
  </si>
  <si>
    <t>Organizacja targów i wystaw</t>
  </si>
  <si>
    <t>Administracja publiczna</t>
  </si>
  <si>
    <t>Urzędy wojewódzkie</t>
  </si>
  <si>
    <t>Starostwa powiatowe</t>
  </si>
  <si>
    <t>Komisje poborowe</t>
  </si>
  <si>
    <t>Dochody z porozumień z Administracją Rządową</t>
  </si>
  <si>
    <t>Bezpieczeństwo publiczne....</t>
  </si>
  <si>
    <t>Komendy powiatowe Państwowej Straży Pożarnej</t>
  </si>
  <si>
    <t>Wymiar sprawiedliwości</t>
  </si>
  <si>
    <t>Nieodpłatna pomoc prawna</t>
  </si>
  <si>
    <t>Dochody od osób prawnych, od osób fizycznych i od innych jednostek nieposiadających osobowości prawnej oraz wydatki z ich poborem</t>
  </si>
  <si>
    <t>Wpływy z innych opłat stanowiących dochody jednostek samorządu terytorialnego</t>
  </si>
  <si>
    <t>Udziały powiatów w podatkach PIT</t>
  </si>
  <si>
    <t>Udziały powiatów w podatkach CIT</t>
  </si>
  <si>
    <t>Rozliczenia różne</t>
  </si>
  <si>
    <t>Część oświatowa subwencji ogólnej dla jednostek samorządu terytorialnego</t>
  </si>
  <si>
    <t>Część wyrównawcza subwencji ogólnej dla powiatów</t>
  </si>
  <si>
    <t>Różne rozliczenia finansowe</t>
  </si>
  <si>
    <t>Część równoważąca subwencji ogólnej dla powiatów</t>
  </si>
  <si>
    <t>Oświata i wychowanie</t>
  </si>
  <si>
    <t>Szkoły podstawowe specjalne</t>
  </si>
  <si>
    <t>Licea ogólnokształcące</t>
  </si>
  <si>
    <t>I Liceum Ogólnokształcące im. K. Wielkiego</t>
  </si>
  <si>
    <t>II Liceum Ogólnokształcące</t>
  </si>
  <si>
    <t>Szkoły zawodowe</t>
  </si>
  <si>
    <t>Zespół Szkół Zawodowych Nr 1</t>
  </si>
  <si>
    <t>Zespół Szkół Elektronicznych</t>
  </si>
  <si>
    <t>ZSRCKU w Wojsławicach</t>
  </si>
  <si>
    <t>Zespół Szkół im. K. Kałużewskiego i J. Sylli</t>
  </si>
  <si>
    <t>Centrum Kształcenia Ustawicznego</t>
  </si>
  <si>
    <t>Inne formy kształcenia osobno niewymienione</t>
  </si>
  <si>
    <t>Stołówki szkolne</t>
  </si>
  <si>
    <t>Kwalifikacyjne kursy zawodowe</t>
  </si>
  <si>
    <t>Ochrona zdrowia</t>
  </si>
  <si>
    <t>Składki na ubezpieczenie zdrowotne oraz świadczenia</t>
  </si>
  <si>
    <t>Dom Dziecka im. św. M.M. Kolbego</t>
  </si>
  <si>
    <t>Powiatowy Urząd Pracy</t>
  </si>
  <si>
    <t>Pomoc  społeczna</t>
  </si>
  <si>
    <t>Domy pomocy społecznej</t>
  </si>
  <si>
    <t>Dom Pomocy Społecznej w Zd- Woli</t>
  </si>
  <si>
    <t>Dom Pomocy Społecznej w Przatówku</t>
  </si>
  <si>
    <t>Dotacje celowe</t>
  </si>
  <si>
    <t>Ośrodki wsparcia</t>
  </si>
  <si>
    <t>Rodziny zastępcze</t>
  </si>
  <si>
    <t>Powiatowe centra pomocy rodzinie</t>
  </si>
  <si>
    <t>Pozostałe zadania w zakresie polityki społecznej</t>
  </si>
  <si>
    <t>Zespoły ds. orzekania o stopniu niepełnosprawności</t>
  </si>
  <si>
    <t>Fundusz Pracy</t>
  </si>
  <si>
    <t>Państwowy Fundusz Rehabilitacji Osób Niepełnosprawnych</t>
  </si>
  <si>
    <t>Powiatowe urzędy pracy</t>
  </si>
  <si>
    <t>Edukacyjna opieka wychowawcza</t>
  </si>
  <si>
    <t>Poradnie psychologiczno - pedagogiczne w tym poradnie...</t>
  </si>
  <si>
    <t>Placówki wychowania pozaszkolnego</t>
  </si>
  <si>
    <t>Internaty i bursy szkolne</t>
  </si>
  <si>
    <t>Szkolne schroniska młodzieżowe</t>
  </si>
  <si>
    <t>PCKSiR</t>
  </si>
  <si>
    <t>Gospodarka komunalna i ochrona środowiska</t>
  </si>
  <si>
    <t>Wpływy i wydatki związane z gromadzeniem środków z opłat i kar za korzystanie ze środowiska</t>
  </si>
  <si>
    <t>RAZEM DOCHODY</t>
  </si>
  <si>
    <t>Przychody ogółem, w tym:</t>
  </si>
  <si>
    <t>Przychody z zaciągnietych kredytów (…)</t>
  </si>
  <si>
    <t>RAZEM DOCHODY I PRZYCHODY</t>
  </si>
  <si>
    <t>Dochody plan na 2017 rok</t>
  </si>
  <si>
    <t xml:space="preserve">Prace geodezyjno- urządzeniowe </t>
  </si>
  <si>
    <t>01005</t>
  </si>
  <si>
    <t>*Powiatowy Zarząd Dróg</t>
  </si>
  <si>
    <t>Rodzina</t>
  </si>
  <si>
    <t>Działalność placówek opiekuńczo- wychowawczych</t>
  </si>
  <si>
    <t>*PCPR</t>
  </si>
  <si>
    <t>*zadania własne</t>
  </si>
  <si>
    <t>*zadania zlecone</t>
  </si>
  <si>
    <t>(z wyłączniem zadań majątkowych oraz realizowanych z udziałem środków z budżetu UE)</t>
  </si>
  <si>
    <t>Gospodarka leśna</t>
  </si>
  <si>
    <t>02001</t>
  </si>
  <si>
    <t>Nadzór nad gospodarką leśną</t>
  </si>
  <si>
    <t>02002</t>
  </si>
  <si>
    <t>Drogi publiczne i powiatowe</t>
  </si>
  <si>
    <t>Turystyka</t>
  </si>
  <si>
    <t>Rady powiatów</t>
  </si>
  <si>
    <t>Promocja jednostek samorządu terytorialnego</t>
  </si>
  <si>
    <t>Obsługa długu publicznego</t>
  </si>
  <si>
    <t>Obsługa papierów wartościowych</t>
  </si>
  <si>
    <t>Rezerwy ogólne i celowe</t>
  </si>
  <si>
    <t>Przedszkola specjalne</t>
  </si>
  <si>
    <t xml:space="preserve">Gimnazja  </t>
  </si>
  <si>
    <t>Gimnazja specjalne</t>
  </si>
  <si>
    <t>Szkoły zawodowe specjalne</t>
  </si>
  <si>
    <t>Dokształcanie i doskonalenie nauczycieli</t>
  </si>
  <si>
    <t>Realizacja zadań wymagających stosowania (…)</t>
  </si>
  <si>
    <t>Kwalifikacyjne  kursy zawodowe</t>
  </si>
  <si>
    <t>Szpitale ogólne</t>
  </si>
  <si>
    <t>Zapobieganie i zwalczanie AIDS</t>
  </si>
  <si>
    <t>Przeciwdziałanie alkoholizmowi</t>
  </si>
  <si>
    <t>PUP</t>
  </si>
  <si>
    <t>PCPR</t>
  </si>
  <si>
    <t>Jednostki specjalistycznego poradnictwa, mieszkania chronione (…)</t>
  </si>
  <si>
    <t>Rehabilitacja zawodowa i społeczna osób (...)</t>
  </si>
  <si>
    <t>Zespoły ds. orzekania o stopniu niepełnospr.</t>
  </si>
  <si>
    <t>Wczesne wspomaganie rozwoju dziecka</t>
  </si>
  <si>
    <t>Kultura i ochr. dziedzictwa narod.</t>
  </si>
  <si>
    <t>Biblioteki</t>
  </si>
  <si>
    <t>Ochrona zabytków i opieka nad zabytkami</t>
  </si>
  <si>
    <t>Kultura fizyczna i sport</t>
  </si>
  <si>
    <t>Zadania w zakresie kultury fizycznej i sportu</t>
  </si>
  <si>
    <t>RAZEM WYDATKI</t>
  </si>
  <si>
    <t>Rozchody ogółem, w tym:</t>
  </si>
  <si>
    <t>Spłaty otrzymanych krajowych pożyczek i kredytów</t>
  </si>
  <si>
    <t>§ 992</t>
  </si>
  <si>
    <t>RAZEM WYDATKI I ROZCHODY</t>
  </si>
  <si>
    <t>Załącznik Nr 1</t>
  </si>
  <si>
    <t>Załącznik Nr 2</t>
  </si>
  <si>
    <t>Prace geodezyjno- urządzeniowe na potrzeby rolnictwa</t>
  </si>
  <si>
    <t>*Wydział IF</t>
  </si>
  <si>
    <t>*PZD</t>
  </si>
  <si>
    <t>*ZSRCKU w Wojsławicach</t>
  </si>
  <si>
    <t>*ZSZ Nr 1</t>
  </si>
  <si>
    <t>*I LO</t>
  </si>
  <si>
    <t>*II LO</t>
  </si>
  <si>
    <t>*ZS</t>
  </si>
  <si>
    <t>*CKU</t>
  </si>
  <si>
    <t>*Szkoły dotowane</t>
  </si>
  <si>
    <t>*ZSE</t>
  </si>
  <si>
    <t>*ZSRCKU</t>
  </si>
  <si>
    <t>*Wydział ED</t>
  </si>
  <si>
    <t>*DD w Wojsławicach</t>
  </si>
  <si>
    <t>*PUP</t>
  </si>
  <si>
    <t>*DPS Zduńska Wola</t>
  </si>
  <si>
    <t>*DPS Przatówek</t>
  </si>
  <si>
    <t>*ŚDS Przatówek</t>
  </si>
  <si>
    <t>*ŚDS ul. Łaska 59</t>
  </si>
  <si>
    <t>*ŚDS ul. Dąbrowskiego 15</t>
  </si>
  <si>
    <t>*P P-P</t>
  </si>
  <si>
    <t>*ZS RCKU w Wojsławicach</t>
  </si>
  <si>
    <t>*PCKSiR</t>
  </si>
  <si>
    <t>Działalność placówek opiekuńczo - wychowawczych</t>
  </si>
  <si>
    <t>Nowoczesny zawód w nowoczesnej szkole- Modernizacja Zespołu Szkół w Zduńskiej Woli Karsznicach- zadanie II: budowa budynku z 3 salami dydaktycznymi dla klas o profilach: hotelarskim, gastronomicznym i kolejowym wraz z I wyposażeniem</t>
  </si>
  <si>
    <t>Załącznik Nr 5</t>
  </si>
  <si>
    <t>Wyszczególnienie</t>
  </si>
  <si>
    <t>Załącznik Nr 6</t>
  </si>
  <si>
    <t>HARMONOGRAM DOCHODÓW BUDŻETU POWIATU NA 2018 ROK</t>
  </si>
  <si>
    <t>Dochody plan na 2018 rok</t>
  </si>
  <si>
    <t>Obrona narodowa</t>
  </si>
  <si>
    <t>Pozostałe wydatki obronne</t>
  </si>
  <si>
    <t>Obrona cywilna</t>
  </si>
  <si>
    <t>HARMONOGRAM DOCHODÓW I WYDATKÓW ZADAŃ MAJĄTKOWYCH BUDŻETU POWIATU NA 2018 ROK</t>
  </si>
  <si>
    <t>Przebudowa drogi powiatowej nr 4908E na odcinku Poręby- Piaski</t>
  </si>
  <si>
    <t>Razem 2018</t>
  </si>
  <si>
    <t>Przebudowa drogi powiatowej nr 1765E na odcinku Piaski- Beleń- Strońsko</t>
  </si>
  <si>
    <t>Zakup ciągnika wraz z osprzętem do utrzymania ciągów pieszych i pieszo- rowerowych</t>
  </si>
  <si>
    <t>Zakup rozsiewacza- piaskarki drogowej do utrzymywania pasa drogowego</t>
  </si>
  <si>
    <t>Zakup tablicy radarowej do wyświetlania prędkości pojazdów</t>
  </si>
  <si>
    <t>Przebudowa drogi powiatowej Nr 4909E na odcinku Choszczewo- Krokocice- Lichawa- Etap I</t>
  </si>
  <si>
    <t>Budowa pomnika upamiętniającego uchwalenie Konstytucji 3-go Maja</t>
  </si>
  <si>
    <t>Zakup zestawu komputerowego przenośnego (laptopa) z oprogramowaniem</t>
  </si>
  <si>
    <t>Realizator: Powiatowy Inspektorat Nadzoru Budowlanego w Zduńskiej Woli</t>
  </si>
  <si>
    <t>Zakup zestawów komputerowych wraz z oprogramowaniem</t>
  </si>
  <si>
    <t>Zakup systemu komputerowego umożliwiającego dokonanie elektronizacji zamówień publicznych w Starostwie Powiatowym w Zduńskiej Woli</t>
  </si>
  <si>
    <t>Przekazanie na Fundusz Wsparcia Policji dofinansowania zakupu jednego pojazdu służbowego w wersji oznakowanej dla potrzeby funkcjonariuszy pełniących służbę na terenie Powiatu Zduńskowolskiego</t>
  </si>
  <si>
    <t>Zakup manekinów ewakuacyjnych- dorosły+ dziecko</t>
  </si>
  <si>
    <t>Modernizacja pomieszczeń Zespołu Szkół Elektronicznych w Zduńskiej Woli</t>
  </si>
  <si>
    <t>Dokapitalizowanie Zduńskowolskiego Szpitala Powiatowego Spółka z o.o.</t>
  </si>
  <si>
    <t>Zakup ambulansu sanitarnego typu C wraz z zabudową medyczną i wyposażeniem</t>
  </si>
  <si>
    <t>Zakup zestawu komputerowego z oprogramowaniem i drukarką na potrzeby Regionalnego Ośrodka Profilaktyki Choroby Nowotworowej</t>
  </si>
  <si>
    <t>Zakup i montaż dodatkowych regaów przesuwnych na potrzeby składnicy dokumentów (archiwum)</t>
  </si>
  <si>
    <t>Realizator: Powiatowy Urząd Pracy w Zduńskiej Woli</t>
  </si>
  <si>
    <t>Budowa kompleksu lekkoatletycznego wraz z modernizacją boiska do piłki nożnej na terenie PMOS w Zduńskiej Woli- wariant 400 m certyfikowany w ramach zadania pn.: Rozwój infrastruktury lekkoatletycznej wraz z budową systemu nawadniania boisk do piłki nożnej na terenie PMOS w Zduńskiej Woli</t>
  </si>
  <si>
    <t>*</t>
  </si>
  <si>
    <t>PFRON</t>
  </si>
  <si>
    <t>*Starostwo Powiatowe</t>
  </si>
  <si>
    <t>*DD</t>
  </si>
  <si>
    <t xml:space="preserve">HARMONOGRAM WYDATKÓW BUDŻETU POWIATU NA 2018 ROK </t>
  </si>
  <si>
    <t>Wydatki plan na 2018 rok</t>
  </si>
  <si>
    <t>Szkoły policealne</t>
  </si>
  <si>
    <t>*Szkoła Policealna dla Dorosłych Nr 5</t>
  </si>
  <si>
    <t>Branżowe szkoły I i II stopnia</t>
  </si>
  <si>
    <t>*ZSSp.</t>
  </si>
  <si>
    <t>*ILO</t>
  </si>
  <si>
    <t>*Wydział OR</t>
  </si>
  <si>
    <t>*Wydział PK</t>
  </si>
  <si>
    <t>*Wydział SP</t>
  </si>
  <si>
    <t xml:space="preserve">Zdobywanie umiejętności zawodowych podczas mobilności zagranicznych </t>
  </si>
  <si>
    <t>Od Montessori do samodzielności III</t>
  </si>
  <si>
    <t xml:space="preserve">Europejskie inspiracje- szansą na rozwój w branży żywnościowej </t>
  </si>
  <si>
    <t>Realizator: Zespół Szkół Rolnicze Centrum Kształcenia Ustawicznego w Wojsławicach</t>
  </si>
  <si>
    <t>Kluczowe kompetencje- kluczem do sukcesu uczniów III LO w Zduńskiej Woli</t>
  </si>
  <si>
    <t>środki UE i środki budżetu państwa</t>
  </si>
  <si>
    <t>Wydział IF</t>
  </si>
  <si>
    <t>PRZYCHODY BUDŻETU POWIATU NA ROK 2018</t>
  </si>
  <si>
    <t>ROZCHODY BUDŻETU POWIATU NA ROK 2018</t>
  </si>
  <si>
    <t>Plan na 2018 rok</t>
  </si>
  <si>
    <t>Miejski Obszar Funkcjonalny Zduńska Wola Karsznice- budowa łącznika z drogą ekspresową S8 na terenie powiatu zduńskowolskiego i powiatu łaskiego</t>
  </si>
  <si>
    <t>środki Miasta Zduska Wola</t>
  </si>
  <si>
    <t>*w ramach oznaczonej kwoty, kwota 3 688 325 zł wpłynie jako refundacja w roku 2019</t>
  </si>
  <si>
    <t>e- Powiat Zduńskowolski</t>
  </si>
  <si>
    <t>Nowoczesny zawód w nowczesnej szkole- Modernizacja Zespołu Szkół w Zduńskiej Woli Karsznicach- zadanie II: budowa budynku z 3 salami dydaktycznymi dla klas o profilach: hotelarskim, gastronomicznym i kolejowym wraz z I wyposażeniem</t>
  </si>
  <si>
    <t>*w ramach oznaczonej kwoty, kwota 838 667 zł wpłynie jako refundacja w roku 2019</t>
  </si>
  <si>
    <t>*w ramach oznaczonej kwoty, kwota 751 zł wpłynie jako refundacja wydatków poniesionych w 2017 r. (w tym: środki PFRON- 113 zł i środki UE- 638 zł).</t>
  </si>
  <si>
    <t>*w ramach oznaczonej kwoty, kwota 112 105 zł wpłynie jako refundacja w 2019 roku</t>
  </si>
  <si>
    <t>*w ramach oznaczonej kwoty, kwota 94 949 zł wpłynie jako refundacja w 2019 roku</t>
  </si>
  <si>
    <t>*w ramach oznaczonej kwoty, kwota 24 985 zł wpłynie jako refundacja w 2019 r.</t>
  </si>
  <si>
    <t>**</t>
  </si>
  <si>
    <t>**w ramach oznaczonej kwoty, kwota 3 688 325 zł wpłynie jako refundacja w 2019 r.</t>
  </si>
  <si>
    <t>środki PFRON</t>
  </si>
  <si>
    <t>*w ramach oznaczonej kwoty, kwota 5 738 zł wpłynie jako refundacja w 2019 r., w ramach tej kwoty mieści się również kwota 11 455 zł stanowiąca refundację z 2017 roku</t>
  </si>
  <si>
    <t>**w ramach oznaczonej kwoty, kwota 2 004 zł wpłynie jako refundacja w 2019 r., w tej kwocie mieści się również kwota 2 001 zł stanowiąca refundację z 2017 roku</t>
  </si>
  <si>
    <t>***</t>
  </si>
  <si>
    <t>***w ramach oznaczonej kwoty, kwota 751 zł wpłynie jako refundacja wydatków poniesionych w 2017 r. (w tym: środki PFRON- 113 zł i środki UE- 638 zł)</t>
  </si>
  <si>
    <t>*w ramach oznaczonej kwoty, kwota 7 650 zł wpłynie jako refundacja w 2019 r., w tej kwocie mieści się również kwota 12 550 zł stanowiąca refundację z 2017 roku</t>
  </si>
  <si>
    <t>*w ramach oznaczonej kwoty, kwota 9 621 zł wpłynie jako refundacja w 2019 r., w tej kwocie mieści się również kwota 15 714 zł stanowiąca refundację z 2017 roku</t>
  </si>
  <si>
    <t>**w ramach oznaczonej kwoty, kwota 838 667 zł wpłynie jako refundacja w roku 2019</t>
  </si>
  <si>
    <t>*w ramach oznaczonej kwoty, kwota 5 508 zł stanowi refundację wydatków roku 2017</t>
  </si>
  <si>
    <t>*w ramach oznaczonej kwoty, kwota 5 508 zł wpłynie jako refundacja wydatków z 2017 r.</t>
  </si>
  <si>
    <t>**w ramach oznaczonej kwoty, kwota 17 222 zł wpłynie jako refundacja w 2019 r., w tej kwocie mieści się również kwota 16 191 zł stanowiąca refundację z 2017 roku.</t>
  </si>
  <si>
    <t>do Uchwały Nr V/51/18</t>
  </si>
  <si>
    <t>z dnia 06 marca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</si>
</sst>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z_ł_-;\-* #,##0.00\ _z_ł_-;_-* \-??\ _z_ł_-;_-@_-"/>
    <numFmt numFmtId="165" formatCode="#,##0;[Red]#,##0"/>
  </numFmts>
  <fonts count="5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8"/>
      <color indexed="8"/>
      <name val="Czcionka tekstu podstawowego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Czcionka tekstu podstawowego"/>
      <charset val="238"/>
    </font>
    <font>
      <b/>
      <u/>
      <sz val="8"/>
      <color theme="1"/>
      <name val="Czcionka tekstu podstawowego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i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b/>
      <u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u/>
      <sz val="8"/>
      <name val="Arial CE"/>
      <charset val="238"/>
    </font>
    <font>
      <u/>
      <sz val="8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u/>
      <sz val="9"/>
      <name val="Arial CE"/>
      <charset val="238"/>
    </font>
    <font>
      <sz val="9"/>
      <name val="Arial CE"/>
      <charset val="238"/>
    </font>
    <font>
      <b/>
      <sz val="9"/>
      <color rgb="FFFF0000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9"/>
      <color rgb="FFFF0000"/>
      <name val="Arial CE"/>
      <charset val="238"/>
    </font>
    <font>
      <sz val="8"/>
      <name val="Czcionka tekstu podstawowego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Czcionka tekstu podstawowego"/>
      <charset val="238"/>
    </font>
    <font>
      <sz val="8"/>
      <name val="Czcionka tekstu podstawowego"/>
      <family val="2"/>
      <charset val="238"/>
    </font>
    <font>
      <b/>
      <u/>
      <sz val="8"/>
      <name val="Czcionka tekstu podstawowego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8"/>
      <name val="Arial"/>
      <family val="2"/>
      <charset val="238"/>
    </font>
    <font>
      <sz val="7"/>
      <color indexed="8"/>
      <name val="Czcionka tekstu podstawowego"/>
      <charset val="238"/>
    </font>
    <font>
      <sz val="7"/>
      <color theme="1"/>
      <name val="Czcionka tekstu podstawowego"/>
      <charset val="238"/>
    </font>
    <font>
      <sz val="7"/>
      <name val="Czcionka tekstu podstawowego"/>
      <charset val="238"/>
    </font>
    <font>
      <sz val="7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4"/>
      </patternFill>
    </fill>
    <fill>
      <patternFill patternType="solid">
        <fgColor theme="3" tint="0.59999389629810485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theme="3" tint="0.39997558519241921"/>
        <bgColor indexed="3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59999389629810485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164" fontId="5" fillId="0" borderId="0" applyFill="0" applyBorder="0" applyAlignment="0" applyProtection="0"/>
  </cellStyleXfs>
  <cellXfs count="390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3" xfId="0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1" xfId="0" applyNumberFormat="1" applyFont="1" applyFill="1" applyBorder="1"/>
    <xf numFmtId="0" fontId="0" fillId="0" borderId="1" xfId="0" applyBorder="1"/>
    <xf numFmtId="3" fontId="11" fillId="0" borderId="5" xfId="0" applyNumberFormat="1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3" fontId="3" fillId="0" borderId="17" xfId="0" applyNumberFormat="1" applyFont="1" applyBorder="1"/>
    <xf numFmtId="0" fontId="9" fillId="2" borderId="18" xfId="0" applyFont="1" applyFill="1" applyBorder="1"/>
    <xf numFmtId="0" fontId="10" fillId="0" borderId="13" xfId="0" applyFont="1" applyBorder="1"/>
    <xf numFmtId="0" fontId="3" fillId="0" borderId="22" xfId="0" applyFont="1" applyBorder="1"/>
    <xf numFmtId="3" fontId="3" fillId="0" borderId="23" xfId="0" applyNumberFormat="1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24" xfId="0" applyFont="1" applyBorder="1"/>
    <xf numFmtId="3" fontId="11" fillId="0" borderId="25" xfId="0" applyNumberFormat="1" applyFont="1" applyBorder="1"/>
    <xf numFmtId="3" fontId="11" fillId="0" borderId="26" xfId="0" applyNumberFormat="1" applyFont="1" applyBorder="1"/>
    <xf numFmtId="3" fontId="11" fillId="0" borderId="27" xfId="0" applyNumberFormat="1" applyFont="1" applyBorder="1"/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6" fillId="0" borderId="0" xfId="1" applyFont="1" applyAlignment="1">
      <alignment horizontal="center"/>
    </xf>
    <xf numFmtId="0" fontId="9" fillId="2" borderId="28" xfId="0" applyFont="1" applyFill="1" applyBorder="1"/>
    <xf numFmtId="0" fontId="9" fillId="2" borderId="29" xfId="0" applyFont="1" applyFill="1" applyBorder="1" applyAlignment="1">
      <alignment horizontal="center"/>
    </xf>
    <xf numFmtId="0" fontId="0" fillId="0" borderId="30" xfId="0" applyBorder="1"/>
    <xf numFmtId="0" fontId="17" fillId="0" borderId="2" xfId="0" applyFont="1" applyBorder="1"/>
    <xf numFmtId="3" fontId="17" fillId="0" borderId="1" xfId="0" applyNumberFormat="1" applyFont="1" applyBorder="1"/>
    <xf numFmtId="3" fontId="17" fillId="0" borderId="17" xfId="0" applyNumberFormat="1" applyFont="1" applyBorder="1"/>
    <xf numFmtId="0" fontId="12" fillId="0" borderId="2" xfId="0" applyFont="1" applyBorder="1"/>
    <xf numFmtId="3" fontId="12" fillId="0" borderId="1" xfId="0" applyNumberFormat="1" applyFont="1" applyBorder="1"/>
    <xf numFmtId="3" fontId="12" fillId="0" borderId="5" xfId="0" applyNumberFormat="1" applyFont="1" applyBorder="1"/>
    <xf numFmtId="3" fontId="12" fillId="0" borderId="27" xfId="0" applyNumberFormat="1" applyFont="1" applyBorder="1"/>
    <xf numFmtId="3" fontId="17" fillId="0" borderId="6" xfId="0" applyNumberFormat="1" applyFont="1" applyBorder="1"/>
    <xf numFmtId="0" fontId="12" fillId="0" borderId="36" xfId="0" applyFont="1" applyBorder="1"/>
    <xf numFmtId="3" fontId="12" fillId="0" borderId="37" xfId="0" applyNumberFormat="1" applyFont="1" applyBorder="1"/>
    <xf numFmtId="3" fontId="12" fillId="0" borderId="38" xfId="0" applyNumberFormat="1" applyFont="1" applyBorder="1"/>
    <xf numFmtId="3" fontId="12" fillId="0" borderId="39" xfId="0" applyNumberFormat="1" applyFont="1" applyBorder="1"/>
    <xf numFmtId="0" fontId="9" fillId="0" borderId="3" xfId="0" applyFont="1" applyBorder="1"/>
    <xf numFmtId="3" fontId="17" fillId="0" borderId="4" xfId="0" applyNumberFormat="1" applyFont="1" applyBorder="1"/>
    <xf numFmtId="3" fontId="17" fillId="0" borderId="14" xfId="0" applyNumberFormat="1" applyFont="1" applyBorder="1"/>
    <xf numFmtId="3" fontId="17" fillId="0" borderId="7" xfId="0" applyNumberFormat="1" applyFont="1" applyBorder="1"/>
    <xf numFmtId="3" fontId="17" fillId="0" borderId="27" xfId="0" applyNumberFormat="1" applyFont="1" applyBorder="1"/>
    <xf numFmtId="0" fontId="17" fillId="0" borderId="2" xfId="0" applyFont="1" applyBorder="1" applyAlignment="1"/>
    <xf numFmtId="0" fontId="0" fillId="3" borderId="0" xfId="0" applyFill="1"/>
    <xf numFmtId="0" fontId="18" fillId="3" borderId="0" xfId="0" applyFont="1" applyFill="1"/>
    <xf numFmtId="0" fontId="0" fillId="4" borderId="0" xfId="0" applyFont="1" applyFill="1"/>
    <xf numFmtId="0" fontId="0" fillId="4" borderId="0" xfId="0" applyFill="1"/>
    <xf numFmtId="0" fontId="22" fillId="3" borderId="43" xfId="0" applyFont="1" applyFill="1" applyBorder="1" applyAlignment="1">
      <alignment horizontal="center"/>
    </xf>
    <xf numFmtId="0" fontId="22" fillId="3" borderId="20" xfId="0" applyFont="1" applyFill="1" applyBorder="1" applyAlignment="1">
      <alignment horizontal="center"/>
    </xf>
    <xf numFmtId="0" fontId="22" fillId="4" borderId="43" xfId="0" applyFont="1" applyFill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5" borderId="27" xfId="0" quotePrefix="1" applyFont="1" applyFill="1" applyBorder="1" applyAlignment="1">
      <alignment horizontal="right"/>
    </xf>
    <xf numFmtId="0" fontId="24" fillId="5" borderId="27" xfId="0" applyFont="1" applyFill="1" applyBorder="1" applyAlignment="1">
      <alignment horizontal="left"/>
    </xf>
    <xf numFmtId="0" fontId="24" fillId="5" borderId="44" xfId="0" applyFont="1" applyFill="1" applyBorder="1" applyAlignment="1">
      <alignment horizontal="right"/>
    </xf>
    <xf numFmtId="3" fontId="24" fillId="6" borderId="27" xfId="0" applyNumberFormat="1" applyFont="1" applyFill="1" applyBorder="1" applyAlignment="1">
      <alignment horizontal="right"/>
    </xf>
    <xf numFmtId="0" fontId="22" fillId="3" borderId="6" xfId="0" applyFont="1" applyFill="1" applyBorder="1" applyAlignment="1">
      <alignment horizontal="right"/>
    </xf>
    <xf numFmtId="0" fontId="18" fillId="3" borderId="6" xfId="0" applyFont="1" applyFill="1" applyBorder="1" applyAlignment="1">
      <alignment horizontal="left"/>
    </xf>
    <xf numFmtId="0" fontId="22" fillId="3" borderId="41" xfId="0" quotePrefix="1" applyFont="1" applyFill="1" applyBorder="1" applyAlignment="1">
      <alignment horizontal="right"/>
    </xf>
    <xf numFmtId="3" fontId="18" fillId="4" borderId="6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8" fillId="0" borderId="41" xfId="0" applyNumberFormat="1" applyFont="1" applyFill="1" applyBorder="1" applyAlignment="1">
      <alignment horizontal="right"/>
    </xf>
    <xf numFmtId="0" fontId="22" fillId="5" borderId="6" xfId="0" quotePrefix="1" applyFont="1" applyFill="1" applyBorder="1" applyAlignment="1">
      <alignment horizontal="right"/>
    </xf>
    <xf numFmtId="0" fontId="24" fillId="5" borderId="6" xfId="0" applyFont="1" applyFill="1" applyBorder="1"/>
    <xf numFmtId="0" fontId="22" fillId="5" borderId="41" xfId="0" applyFont="1" applyFill="1" applyBorder="1"/>
    <xf numFmtId="3" fontId="24" fillId="6" borderId="6" xfId="0" applyNumberFormat="1" applyFont="1" applyFill="1" applyBorder="1"/>
    <xf numFmtId="3" fontId="24" fillId="6" borderId="41" xfId="0" applyNumberFormat="1" applyFont="1" applyFill="1" applyBorder="1"/>
    <xf numFmtId="0" fontId="18" fillId="3" borderId="6" xfId="0" applyFont="1" applyFill="1" applyBorder="1"/>
    <xf numFmtId="3" fontId="18" fillId="7" borderId="6" xfId="0" applyNumberFormat="1" applyFont="1" applyFill="1" applyBorder="1"/>
    <xf numFmtId="3" fontId="18" fillId="0" borderId="6" xfId="0" applyNumberFormat="1" applyFont="1" applyBorder="1"/>
    <xf numFmtId="3" fontId="18" fillId="0" borderId="41" xfId="0" applyNumberFormat="1" applyFont="1" applyBorder="1"/>
    <xf numFmtId="0" fontId="22" fillId="5" borderId="41" xfId="0" applyFont="1" applyFill="1" applyBorder="1" applyAlignment="1">
      <alignment horizontal="right"/>
    </xf>
    <xf numFmtId="3" fontId="24" fillId="8" borderId="6" xfId="0" applyNumberFormat="1" applyFont="1" applyFill="1" applyBorder="1"/>
    <xf numFmtId="3" fontId="24" fillId="8" borderId="41" xfId="0" applyNumberFormat="1" applyFont="1" applyFill="1" applyBorder="1"/>
    <xf numFmtId="0" fontId="22" fillId="5" borderId="6" xfId="0" applyFont="1" applyFill="1" applyBorder="1" applyAlignment="1">
      <alignment horizontal="right"/>
    </xf>
    <xf numFmtId="0" fontId="18" fillId="3" borderId="6" xfId="0" applyFont="1" applyFill="1" applyBorder="1" applyAlignment="1">
      <alignment horizontal="right"/>
    </xf>
    <xf numFmtId="0" fontId="22" fillId="3" borderId="41" xfId="0" applyFont="1" applyFill="1" applyBorder="1"/>
    <xf numFmtId="3" fontId="18" fillId="4" borderId="6" xfId="0" applyNumberFormat="1" applyFont="1" applyFill="1" applyBorder="1"/>
    <xf numFmtId="3" fontId="18" fillId="0" borderId="6" xfId="0" applyNumberFormat="1" applyFont="1" applyFill="1" applyBorder="1"/>
    <xf numFmtId="3" fontId="18" fillId="0" borderId="41" xfId="0" applyNumberFormat="1" applyFont="1" applyFill="1" applyBorder="1"/>
    <xf numFmtId="3" fontId="26" fillId="7" borderId="6" xfId="0" applyNumberFormat="1" applyFont="1" applyFill="1" applyBorder="1"/>
    <xf numFmtId="3" fontId="26" fillId="0" borderId="6" xfId="0" applyNumberFormat="1" applyFont="1" applyBorder="1"/>
    <xf numFmtId="3" fontId="26" fillId="0" borderId="41" xfId="0" applyNumberFormat="1" applyFont="1" applyBorder="1"/>
    <xf numFmtId="3" fontId="26" fillId="4" borderId="6" xfId="0" applyNumberFormat="1" applyFont="1" applyFill="1" applyBorder="1"/>
    <xf numFmtId="0" fontId="27" fillId="5" borderId="6" xfId="0" applyFont="1" applyFill="1" applyBorder="1"/>
    <xf numFmtId="0" fontId="27" fillId="5" borderId="41" xfId="0" applyFont="1" applyFill="1" applyBorder="1"/>
    <xf numFmtId="3" fontId="27" fillId="8" borderId="6" xfId="0" applyNumberFormat="1" applyFont="1" applyFill="1" applyBorder="1"/>
    <xf numFmtId="3" fontId="18" fillId="10" borderId="6" xfId="0" applyNumberFormat="1" applyFont="1" applyFill="1" applyBorder="1"/>
    <xf numFmtId="3" fontId="18" fillId="10" borderId="41" xfId="0" applyNumberFormat="1" applyFont="1" applyFill="1" applyBorder="1"/>
    <xf numFmtId="3" fontId="26" fillId="0" borderId="6" xfId="0" applyNumberFormat="1" applyFont="1" applyFill="1" applyBorder="1"/>
    <xf numFmtId="3" fontId="26" fillId="0" borderId="41" xfId="0" applyNumberFormat="1" applyFont="1" applyFill="1" applyBorder="1"/>
    <xf numFmtId="3" fontId="26" fillId="0" borderId="41" xfId="0" applyNumberFormat="1" applyFont="1" applyBorder="1" applyAlignment="1"/>
    <xf numFmtId="3" fontId="26" fillId="0" borderId="6" xfId="0" applyNumberFormat="1" applyFont="1" applyBorder="1" applyAlignment="1"/>
    <xf numFmtId="3" fontId="24" fillId="6" borderId="6" xfId="0" applyNumberFormat="1" applyFont="1" applyFill="1" applyBorder="1" applyAlignment="1">
      <alignment horizontal="right"/>
    </xf>
    <xf numFmtId="3" fontId="24" fillId="6" borderId="41" xfId="0" applyNumberFormat="1" applyFont="1" applyFill="1" applyBorder="1" applyAlignment="1">
      <alignment horizontal="right"/>
    </xf>
    <xf numFmtId="165" fontId="18" fillId="7" borderId="6" xfId="0" applyNumberFormat="1" applyFont="1" applyFill="1" applyBorder="1"/>
    <xf numFmtId="0" fontId="22" fillId="11" borderId="6" xfId="0" applyFont="1" applyFill="1" applyBorder="1" applyAlignment="1">
      <alignment horizontal="right"/>
    </xf>
    <xf numFmtId="0" fontId="24" fillId="11" borderId="6" xfId="0" applyFont="1" applyFill="1" applyBorder="1" applyAlignment="1">
      <alignment horizontal="center"/>
    </xf>
    <xf numFmtId="0" fontId="22" fillId="11" borderId="41" xfId="0" applyFont="1" applyFill="1" applyBorder="1"/>
    <xf numFmtId="3" fontId="24" fillId="12" borderId="6" xfId="0" applyNumberFormat="1" applyFont="1" applyFill="1" applyBorder="1"/>
    <xf numFmtId="0" fontId="22" fillId="3" borderId="6" xfId="0" applyFont="1" applyFill="1" applyBorder="1"/>
    <xf numFmtId="3" fontId="22" fillId="4" borderId="6" xfId="0" applyNumberFormat="1" applyFont="1" applyFill="1" applyBorder="1"/>
    <xf numFmtId="3" fontId="22" fillId="0" borderId="6" xfId="0" applyNumberFormat="1" applyFont="1" applyFill="1" applyBorder="1"/>
    <xf numFmtId="3" fontId="22" fillId="0" borderId="41" xfId="0" applyNumberFormat="1" applyFont="1" applyFill="1" applyBorder="1"/>
    <xf numFmtId="0" fontId="22" fillId="3" borderId="41" xfId="0" applyFont="1" applyFill="1" applyBorder="1" applyAlignment="1">
      <alignment horizontal="right"/>
    </xf>
    <xf numFmtId="0" fontId="18" fillId="11" borderId="7" xfId="0" applyFont="1" applyFill="1" applyBorder="1" applyAlignment="1">
      <alignment horizontal="right"/>
    </xf>
    <xf numFmtId="0" fontId="24" fillId="11" borderId="7" xfId="0" applyFont="1" applyFill="1" applyBorder="1" applyAlignment="1">
      <alignment horizontal="center"/>
    </xf>
    <xf numFmtId="0" fontId="22" fillId="11" borderId="42" xfId="0" applyFont="1" applyFill="1" applyBorder="1"/>
    <xf numFmtId="3" fontId="24" fillId="12" borderId="7" xfId="0" applyNumberFormat="1" applyFont="1" applyFill="1" applyBorder="1"/>
    <xf numFmtId="3" fontId="24" fillId="12" borderId="42" xfId="0" applyNumberFormat="1" applyFont="1" applyFill="1" applyBorder="1"/>
    <xf numFmtId="3" fontId="0" fillId="0" borderId="0" xfId="0" applyNumberFormat="1"/>
    <xf numFmtId="0" fontId="25" fillId="3" borderId="27" xfId="0" quotePrefix="1" applyFont="1" applyFill="1" applyBorder="1" applyAlignment="1">
      <alignment horizontal="right"/>
    </xf>
    <xf numFmtId="0" fontId="25" fillId="3" borderId="27" xfId="0" applyFont="1" applyFill="1" applyBorder="1" applyAlignment="1">
      <alignment horizontal="left"/>
    </xf>
    <xf numFmtId="0" fontId="21" fillId="3" borderId="44" xfId="0" quotePrefix="1" applyFont="1" applyFill="1" applyBorder="1" applyAlignment="1">
      <alignment horizontal="right"/>
    </xf>
    <xf numFmtId="3" fontId="25" fillId="9" borderId="27" xfId="0" applyNumberFormat="1" applyFont="1" applyFill="1" applyBorder="1" applyAlignment="1">
      <alignment horizontal="right"/>
    </xf>
    <xf numFmtId="3" fontId="25" fillId="9" borderId="44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left" indent="1"/>
    </xf>
    <xf numFmtId="3" fontId="28" fillId="4" borderId="6" xfId="0" applyNumberFormat="1" applyFont="1" applyFill="1" applyBorder="1"/>
    <xf numFmtId="0" fontId="28" fillId="3" borderId="6" xfId="0" applyFont="1" applyFill="1" applyBorder="1"/>
    <xf numFmtId="0" fontId="27" fillId="5" borderId="6" xfId="0" applyFont="1" applyFill="1" applyBorder="1" applyAlignment="1">
      <alignment horizontal="right"/>
    </xf>
    <xf numFmtId="3" fontId="27" fillId="13" borderId="6" xfId="0" applyNumberFormat="1" applyFont="1" applyFill="1" applyBorder="1"/>
    <xf numFmtId="3" fontId="27" fillId="8" borderId="41" xfId="0" applyNumberFormat="1" applyFont="1" applyFill="1" applyBorder="1"/>
    <xf numFmtId="3" fontId="28" fillId="7" borderId="6" xfId="0" applyNumberFormat="1" applyFont="1" applyFill="1" applyBorder="1"/>
    <xf numFmtId="0" fontId="29" fillId="0" borderId="0" xfId="0" applyFont="1" applyAlignment="1"/>
    <xf numFmtId="0" fontId="30" fillId="0" borderId="0" xfId="0" applyFont="1" applyAlignment="1"/>
    <xf numFmtId="0" fontId="30" fillId="4" borderId="0" xfId="0" applyFont="1" applyFill="1" applyAlignment="1"/>
    <xf numFmtId="0" fontId="30" fillId="4" borderId="0" xfId="0" applyFont="1" applyFill="1" applyAlignment="1">
      <alignment horizontal="left"/>
    </xf>
    <xf numFmtId="0" fontId="21" fillId="0" borderId="43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3" fontId="27" fillId="6" borderId="17" xfId="0" applyNumberFormat="1" applyFont="1" applyFill="1" applyBorder="1" applyAlignment="1">
      <alignment horizontal="right"/>
    </xf>
    <xf numFmtId="3" fontId="25" fillId="0" borderId="6" xfId="0" applyNumberFormat="1" applyFont="1" applyFill="1" applyBorder="1"/>
    <xf numFmtId="3" fontId="27" fillId="6" borderId="6" xfId="0" applyNumberFormat="1" applyFont="1" applyFill="1" applyBorder="1"/>
    <xf numFmtId="3" fontId="27" fillId="6" borderId="41" xfId="0" applyNumberFormat="1" applyFont="1" applyFill="1" applyBorder="1"/>
    <xf numFmtId="3" fontId="25" fillId="0" borderId="39" xfId="0" applyNumberFormat="1" applyFont="1" applyFill="1" applyBorder="1"/>
    <xf numFmtId="4" fontId="25" fillId="0" borderId="39" xfId="0" applyNumberFormat="1" applyFont="1" applyFill="1" applyBorder="1"/>
    <xf numFmtId="4" fontId="25" fillId="0" borderId="32" xfId="0" applyNumberFormat="1" applyFont="1" applyFill="1" applyBorder="1"/>
    <xf numFmtId="4" fontId="25" fillId="0" borderId="41" xfId="0" applyNumberFormat="1" applyFont="1" applyFill="1" applyBorder="1"/>
    <xf numFmtId="3" fontId="27" fillId="12" borderId="7" xfId="0" applyNumberFormat="1" applyFont="1" applyFill="1" applyBorder="1"/>
    <xf numFmtId="3" fontId="27" fillId="12" borderId="42" xfId="0" applyNumberFormat="1" applyFont="1" applyFill="1" applyBorder="1"/>
    <xf numFmtId="0" fontId="32" fillId="3" borderId="0" xfId="0" applyFont="1" applyFill="1"/>
    <xf numFmtId="0" fontId="33" fillId="14" borderId="19" xfId="0" applyFont="1" applyFill="1" applyBorder="1" applyAlignment="1">
      <alignment horizontal="center"/>
    </xf>
    <xf numFmtId="0" fontId="33" fillId="14" borderId="43" xfId="0" applyFont="1" applyFill="1" applyBorder="1" applyAlignment="1">
      <alignment horizontal="center"/>
    </xf>
    <xf numFmtId="0" fontId="33" fillId="14" borderId="20" xfId="0" applyFont="1" applyFill="1" applyBorder="1" applyAlignment="1">
      <alignment horizontal="center"/>
    </xf>
    <xf numFmtId="0" fontId="33" fillId="5" borderId="47" xfId="0" quotePrefix="1" applyFont="1" applyFill="1" applyBorder="1" applyAlignment="1">
      <alignment horizontal="right"/>
    </xf>
    <xf numFmtId="0" fontId="34" fillId="5" borderId="17" xfId="0" applyFont="1" applyFill="1" applyBorder="1" applyAlignment="1">
      <alignment horizontal="left"/>
    </xf>
    <xf numFmtId="0" fontId="33" fillId="5" borderId="40" xfId="0" applyFont="1" applyFill="1" applyBorder="1" applyAlignment="1">
      <alignment horizontal="right"/>
    </xf>
    <xf numFmtId="0" fontId="33" fillId="5" borderId="48" xfId="0" quotePrefix="1" applyFont="1" applyFill="1" applyBorder="1" applyAlignment="1">
      <alignment horizontal="right"/>
    </xf>
    <xf numFmtId="0" fontId="34" fillId="5" borderId="6" xfId="0" applyFont="1" applyFill="1" applyBorder="1"/>
    <xf numFmtId="0" fontId="33" fillId="5" borderId="41" xfId="0" applyFont="1" applyFill="1" applyBorder="1"/>
    <xf numFmtId="0" fontId="35" fillId="14" borderId="6" xfId="0" applyFont="1" applyFill="1" applyBorder="1"/>
    <xf numFmtId="0" fontId="33" fillId="5" borderId="48" xfId="0" applyFont="1" applyFill="1" applyBorder="1"/>
    <xf numFmtId="0" fontId="35" fillId="14" borderId="48" xfId="0" applyFont="1" applyFill="1" applyBorder="1"/>
    <xf numFmtId="0" fontId="33" fillId="14" borderId="41" xfId="0" applyFont="1" applyFill="1" applyBorder="1"/>
    <xf numFmtId="0" fontId="34" fillId="5" borderId="41" xfId="0" applyFont="1" applyFill="1" applyBorder="1"/>
    <xf numFmtId="0" fontId="35" fillId="14" borderId="31" xfId="0" applyFont="1" applyFill="1" applyBorder="1"/>
    <xf numFmtId="0" fontId="35" fillId="14" borderId="39" xfId="0" applyFont="1" applyFill="1" applyBorder="1"/>
    <xf numFmtId="0" fontId="33" fillId="14" borderId="32" xfId="0" applyFont="1" applyFill="1" applyBorder="1" applyAlignment="1">
      <alignment horizontal="right"/>
    </xf>
    <xf numFmtId="0" fontId="39" fillId="11" borderId="50" xfId="0" applyFont="1" applyFill="1" applyBorder="1"/>
    <xf numFmtId="0" fontId="34" fillId="11" borderId="7" xfId="0" applyFont="1" applyFill="1" applyBorder="1" applyAlignment="1">
      <alignment horizontal="center"/>
    </xf>
    <xf numFmtId="0" fontId="34" fillId="11" borderId="42" xfId="0" applyFont="1" applyFill="1" applyBorder="1"/>
    <xf numFmtId="0" fontId="32" fillId="0" borderId="0" xfId="0" applyFont="1"/>
    <xf numFmtId="0" fontId="40" fillId="0" borderId="2" xfId="0" applyFont="1" applyBorder="1"/>
    <xf numFmtId="3" fontId="40" fillId="0" borderId="1" xfId="0" applyNumberFormat="1" applyFont="1" applyBorder="1"/>
    <xf numFmtId="3" fontId="40" fillId="0" borderId="5" xfId="0" applyNumberFormat="1" applyFont="1" applyBorder="1"/>
    <xf numFmtId="3" fontId="40" fillId="0" borderId="27" xfId="0" applyNumberFormat="1" applyFont="1" applyBorder="1"/>
    <xf numFmtId="3" fontId="41" fillId="0" borderId="1" xfId="0" applyNumberFormat="1" applyFont="1" applyBorder="1"/>
    <xf numFmtId="3" fontId="42" fillId="0" borderId="0" xfId="0" applyNumberFormat="1" applyFont="1"/>
    <xf numFmtId="0" fontId="18" fillId="4" borderId="6" xfId="0" applyFont="1" applyFill="1" applyBorder="1"/>
    <xf numFmtId="3" fontId="0" fillId="15" borderId="0" xfId="0" applyNumberFormat="1" applyFill="1"/>
    <xf numFmtId="0" fontId="0" fillId="15" borderId="0" xfId="0" applyFill="1"/>
    <xf numFmtId="3" fontId="42" fillId="15" borderId="0" xfId="0" applyNumberFormat="1" applyFont="1" applyFill="1"/>
    <xf numFmtId="0" fontId="42" fillId="15" borderId="0" xfId="0" applyFont="1" applyFill="1"/>
    <xf numFmtId="3" fontId="18" fillId="4" borderId="41" xfId="0" applyNumberFormat="1" applyFont="1" applyFill="1" applyBorder="1"/>
    <xf numFmtId="3" fontId="0" fillId="4" borderId="0" xfId="0" applyNumberFormat="1" applyFill="1"/>
    <xf numFmtId="0" fontId="33" fillId="3" borderId="49" xfId="0" quotePrefix="1" applyFont="1" applyFill="1" applyBorder="1" applyAlignment="1">
      <alignment horizontal="right"/>
    </xf>
    <xf numFmtId="0" fontId="35" fillId="3" borderId="27" xfId="0" applyFont="1" applyFill="1" applyBorder="1" applyAlignment="1">
      <alignment horizontal="left"/>
    </xf>
    <xf numFmtId="0" fontId="33" fillId="3" borderId="44" xfId="0" quotePrefix="1" applyFont="1" applyFill="1" applyBorder="1" applyAlignment="1">
      <alignment horizontal="right"/>
    </xf>
    <xf numFmtId="0" fontId="33" fillId="3" borderId="48" xfId="0" applyFont="1" applyFill="1" applyBorder="1" applyAlignment="1">
      <alignment horizontal="right"/>
    </xf>
    <xf numFmtId="0" fontId="35" fillId="3" borderId="6" xfId="0" applyFont="1" applyFill="1" applyBorder="1" applyAlignment="1">
      <alignment horizontal="left"/>
    </xf>
    <xf numFmtId="0" fontId="33" fillId="3" borderId="41" xfId="0" quotePrefix="1" applyFont="1" applyFill="1" applyBorder="1" applyAlignment="1">
      <alignment horizontal="right"/>
    </xf>
    <xf numFmtId="3" fontId="25" fillId="4" borderId="6" xfId="0" applyNumberFormat="1" applyFont="1" applyFill="1" applyBorder="1"/>
    <xf numFmtId="3" fontId="25" fillId="4" borderId="6" xfId="0" applyNumberFormat="1" applyFont="1" applyFill="1" applyBorder="1" applyAlignment="1">
      <alignment horizontal="right"/>
    </xf>
    <xf numFmtId="3" fontId="25" fillId="4" borderId="41" xfId="0" applyNumberFormat="1" applyFont="1" applyFill="1" applyBorder="1" applyAlignment="1">
      <alignment horizontal="right"/>
    </xf>
    <xf numFmtId="0" fontId="33" fillId="4" borderId="48" xfId="0" applyFont="1" applyFill="1" applyBorder="1" applyAlignment="1">
      <alignment horizontal="right"/>
    </xf>
    <xf numFmtId="0" fontId="35" fillId="4" borderId="6" xfId="0" applyFont="1" applyFill="1" applyBorder="1"/>
    <xf numFmtId="0" fontId="33" fillId="4" borderId="41" xfId="0" quotePrefix="1" applyFont="1" applyFill="1" applyBorder="1" applyAlignment="1">
      <alignment horizontal="right"/>
    </xf>
    <xf numFmtId="0" fontId="33" fillId="3" borderId="48" xfId="0" applyFont="1" applyFill="1" applyBorder="1"/>
    <xf numFmtId="0" fontId="35" fillId="3" borderId="6" xfId="0" applyFont="1" applyFill="1" applyBorder="1"/>
    <xf numFmtId="3" fontId="25" fillId="4" borderId="41" xfId="0" applyNumberFormat="1" applyFont="1" applyFill="1" applyBorder="1"/>
    <xf numFmtId="0" fontId="35" fillId="3" borderId="48" xfId="0" applyFont="1" applyFill="1" applyBorder="1"/>
    <xf numFmtId="0" fontId="35" fillId="3" borderId="6" xfId="0" applyFont="1" applyFill="1" applyBorder="1" applyAlignment="1">
      <alignment horizontal="left" indent="1"/>
    </xf>
    <xf numFmtId="0" fontId="33" fillId="3" borderId="41" xfId="0" applyFont="1" applyFill="1" applyBorder="1"/>
    <xf numFmtId="3" fontId="26" fillId="4" borderId="41" xfId="0" applyNumberFormat="1" applyFont="1" applyFill="1" applyBorder="1"/>
    <xf numFmtId="0" fontId="36" fillId="3" borderId="48" xfId="0" applyFont="1" applyFill="1" applyBorder="1"/>
    <xf numFmtId="0" fontId="37" fillId="3" borderId="6" xfId="0" applyFont="1" applyFill="1" applyBorder="1"/>
    <xf numFmtId="0" fontId="38" fillId="3" borderId="41" xfId="0" applyFont="1" applyFill="1" applyBorder="1"/>
    <xf numFmtId="3" fontId="31" fillId="4" borderId="6" xfId="0" applyNumberFormat="1" applyFont="1" applyFill="1" applyBorder="1"/>
    <xf numFmtId="3" fontId="31" fillId="4" borderId="41" xfId="0" applyNumberFormat="1" applyFont="1" applyFill="1" applyBorder="1"/>
    <xf numFmtId="3" fontId="18" fillId="7" borderId="41" xfId="0" applyNumberFormat="1" applyFont="1" applyFill="1" applyBorder="1"/>
    <xf numFmtId="3" fontId="26" fillId="4" borderId="6" xfId="0" applyNumberFormat="1" applyFont="1" applyFill="1" applyBorder="1" applyAlignment="1"/>
    <xf numFmtId="3" fontId="26" fillId="4" borderId="41" xfId="0" applyNumberFormat="1" applyFont="1" applyFill="1" applyBorder="1" applyAlignment="1"/>
    <xf numFmtId="0" fontId="39" fillId="3" borderId="48" xfId="0" applyFont="1" applyFill="1" applyBorder="1"/>
    <xf numFmtId="0" fontId="35" fillId="3" borderId="49" xfId="0" applyFont="1" applyFill="1" applyBorder="1"/>
    <xf numFmtId="0" fontId="35" fillId="3" borderId="27" xfId="0" applyFont="1" applyFill="1" applyBorder="1" applyAlignment="1">
      <alignment horizontal="left" indent="1"/>
    </xf>
    <xf numFmtId="0" fontId="33" fillId="3" borderId="44" xfId="0" applyFont="1" applyFill="1" applyBorder="1"/>
    <xf numFmtId="3" fontId="25" fillId="7" borderId="27" xfId="0" applyNumberFormat="1" applyFont="1" applyFill="1" applyBorder="1"/>
    <xf numFmtId="3" fontId="25" fillId="4" borderId="27" xfId="0" applyNumberFormat="1" applyFont="1" applyFill="1" applyBorder="1"/>
    <xf numFmtId="3" fontId="25" fillId="4" borderId="44" xfId="0" applyNumberFormat="1" applyFont="1" applyFill="1" applyBorder="1"/>
    <xf numFmtId="3" fontId="25" fillId="7" borderId="6" xfId="0" applyNumberFormat="1" applyFont="1" applyFill="1" applyBorder="1"/>
    <xf numFmtId="3" fontId="25" fillId="7" borderId="41" xfId="0" applyNumberFormat="1" applyFont="1" applyFill="1" applyBorder="1"/>
    <xf numFmtId="0" fontId="35" fillId="4" borderId="41" xfId="0" applyFont="1" applyFill="1" applyBorder="1"/>
    <xf numFmtId="0" fontId="35" fillId="3" borderId="6" xfId="0" quotePrefix="1" applyFont="1" applyFill="1" applyBorder="1" applyAlignment="1">
      <alignment horizontal="left" indent="1"/>
    </xf>
    <xf numFmtId="0" fontId="35" fillId="3" borderId="31" xfId="0" applyFont="1" applyFill="1" applyBorder="1"/>
    <xf numFmtId="0" fontId="35" fillId="3" borderId="39" xfId="0" applyFont="1" applyFill="1" applyBorder="1"/>
    <xf numFmtId="0" fontId="33" fillId="3" borderId="32" xfId="0" applyFont="1" applyFill="1" applyBorder="1"/>
    <xf numFmtId="3" fontId="26" fillId="4" borderId="39" xfId="0" applyNumberFormat="1" applyFont="1" applyFill="1" applyBorder="1"/>
    <xf numFmtId="3" fontId="26" fillId="4" borderId="32" xfId="0" applyNumberFormat="1" applyFont="1" applyFill="1" applyBorder="1"/>
    <xf numFmtId="0" fontId="42" fillId="0" borderId="0" xfId="0" applyFont="1"/>
    <xf numFmtId="0" fontId="40" fillId="0" borderId="36" xfId="0" applyFont="1" applyBorder="1"/>
    <xf numFmtId="3" fontId="40" fillId="0" borderId="37" xfId="0" applyNumberFormat="1" applyFont="1" applyBorder="1"/>
    <xf numFmtId="3" fontId="40" fillId="0" borderId="38" xfId="0" applyNumberFormat="1" applyFont="1" applyBorder="1"/>
    <xf numFmtId="3" fontId="40" fillId="0" borderId="39" xfId="0" applyNumberFormat="1" applyFont="1" applyBorder="1"/>
    <xf numFmtId="0" fontId="43" fillId="2" borderId="15" xfId="0" applyFont="1" applyFill="1" applyBorder="1"/>
    <xf numFmtId="0" fontId="43" fillId="2" borderId="16" xfId="0" applyFont="1" applyFill="1" applyBorder="1"/>
    <xf numFmtId="0" fontId="43" fillId="2" borderId="18" xfId="0" applyFont="1" applyFill="1" applyBorder="1"/>
    <xf numFmtId="0" fontId="44" fillId="0" borderId="13" xfId="0" applyFont="1" applyBorder="1"/>
    <xf numFmtId="0" fontId="45" fillId="0" borderId="22" xfId="0" applyFont="1" applyBorder="1"/>
    <xf numFmtId="3" fontId="45" fillId="0" borderId="23" xfId="0" applyNumberFormat="1" applyFont="1" applyBorder="1"/>
    <xf numFmtId="3" fontId="45" fillId="0" borderId="17" xfId="0" applyNumberFormat="1" applyFont="1" applyBorder="1"/>
    <xf numFmtId="0" fontId="40" fillId="0" borderId="2" xfId="0" applyFont="1" applyBorder="1" applyAlignment="1">
      <alignment horizontal="left" vertical="center" wrapText="1"/>
    </xf>
    <xf numFmtId="3" fontId="40" fillId="0" borderId="1" xfId="0" applyNumberFormat="1" applyFont="1" applyFill="1" applyBorder="1"/>
    <xf numFmtId="0" fontId="42" fillId="0" borderId="1" xfId="0" applyFont="1" applyBorder="1"/>
    <xf numFmtId="3" fontId="40" fillId="0" borderId="5" xfId="0" applyNumberFormat="1" applyFont="1" applyFill="1" applyBorder="1"/>
    <xf numFmtId="3" fontId="40" fillId="0" borderId="6" xfId="0" applyNumberFormat="1" applyFont="1" applyBorder="1"/>
    <xf numFmtId="0" fontId="45" fillId="0" borderId="2" xfId="0" applyFont="1" applyBorder="1"/>
    <xf numFmtId="3" fontId="45" fillId="0" borderId="1" xfId="0" applyNumberFormat="1" applyFont="1" applyBorder="1"/>
    <xf numFmtId="3" fontId="45" fillId="0" borderId="6" xfId="0" applyNumberFormat="1" applyFont="1" applyBorder="1"/>
    <xf numFmtId="0" fontId="45" fillId="0" borderId="3" xfId="0" applyFont="1" applyBorder="1"/>
    <xf numFmtId="3" fontId="45" fillId="0" borderId="4" xfId="0" applyNumberFormat="1" applyFont="1" applyBorder="1"/>
    <xf numFmtId="3" fontId="45" fillId="0" borderId="7" xfId="0" applyNumberFormat="1" applyFont="1" applyBorder="1"/>
    <xf numFmtId="0" fontId="43" fillId="2" borderId="28" xfId="0" applyFont="1" applyFill="1" applyBorder="1"/>
    <xf numFmtId="0" fontId="43" fillId="2" borderId="29" xfId="0" applyFont="1" applyFill="1" applyBorder="1" applyAlignment="1">
      <alignment horizontal="center"/>
    </xf>
    <xf numFmtId="0" fontId="42" fillId="0" borderId="30" xfId="0" applyFont="1" applyBorder="1"/>
    <xf numFmtId="3" fontId="45" fillId="0" borderId="27" xfId="0" applyNumberFormat="1" applyFont="1" applyBorder="1"/>
    <xf numFmtId="0" fontId="43" fillId="0" borderId="3" xfId="0" applyFont="1" applyBorder="1"/>
    <xf numFmtId="0" fontId="47" fillId="0" borderId="0" xfId="0" applyNumberFormat="1" applyFont="1" applyFill="1" applyBorder="1" applyAlignment="1" applyProtection="1">
      <protection locked="0"/>
    </xf>
    <xf numFmtId="0" fontId="47" fillId="0" borderId="0" xfId="0" applyNumberFormat="1" applyFont="1" applyFill="1" applyBorder="1" applyAlignment="1" applyProtection="1">
      <alignment horizontal="left"/>
      <protection locked="0"/>
    </xf>
    <xf numFmtId="0" fontId="18" fillId="3" borderId="7" xfId="0" applyFont="1" applyFill="1" applyBorder="1"/>
    <xf numFmtId="3" fontId="18" fillId="0" borderId="7" xfId="0" applyNumberFormat="1" applyFont="1" applyFill="1" applyBorder="1"/>
    <xf numFmtId="3" fontId="18" fillId="0" borderId="42" xfId="0" applyNumberFormat="1" applyFont="1" applyFill="1" applyBorder="1"/>
    <xf numFmtId="0" fontId="0" fillId="0" borderId="21" xfId="0" applyBorder="1"/>
    <xf numFmtId="3" fontId="25" fillId="0" borderId="29" xfId="0" applyNumberFormat="1" applyFont="1" applyFill="1" applyBorder="1"/>
    <xf numFmtId="4" fontId="25" fillId="0" borderId="29" xfId="0" applyNumberFormat="1" applyFont="1" applyFill="1" applyBorder="1"/>
    <xf numFmtId="4" fontId="25" fillId="0" borderId="9" xfId="0" applyNumberFormat="1" applyFont="1" applyFill="1" applyBorder="1"/>
    <xf numFmtId="0" fontId="35" fillId="14" borderId="29" xfId="0" applyFont="1" applyFill="1" applyBorder="1"/>
    <xf numFmtId="0" fontId="24" fillId="5" borderId="6" xfId="0" applyFont="1" applyFill="1" applyBorder="1" applyAlignment="1">
      <alignment horizontal="right"/>
    </xf>
    <xf numFmtId="3" fontId="49" fillId="0" borderId="1" xfId="0" applyNumberFormat="1" applyFont="1" applyBorder="1"/>
    <xf numFmtId="3" fontId="50" fillId="0" borderId="1" xfId="0" applyNumberFormat="1" applyFont="1" applyBorder="1"/>
    <xf numFmtId="0" fontId="0" fillId="0" borderId="0" xfId="0" applyBorder="1"/>
    <xf numFmtId="3" fontId="0" fillId="0" borderId="0" xfId="0" applyNumberFormat="1" applyBorder="1"/>
    <xf numFmtId="3" fontId="51" fillId="8" borderId="6" xfId="0" applyNumberFormat="1" applyFont="1" applyFill="1" applyBorder="1"/>
    <xf numFmtId="3" fontId="51" fillId="8" borderId="41" xfId="0" applyNumberFormat="1" applyFont="1" applyFill="1" applyBorder="1"/>
    <xf numFmtId="3" fontId="26" fillId="4" borderId="51" xfId="0" applyNumberFormat="1" applyFont="1" applyFill="1" applyBorder="1" applyAlignment="1"/>
    <xf numFmtId="3" fontId="24" fillId="6" borderId="51" xfId="0" applyNumberFormat="1" applyFont="1" applyFill="1" applyBorder="1"/>
    <xf numFmtId="3" fontId="27" fillId="12" borderId="52" xfId="0" applyNumberFormat="1" applyFont="1" applyFill="1" applyBorder="1"/>
    <xf numFmtId="4" fontId="21" fillId="0" borderId="27" xfId="0" applyNumberFormat="1" applyFont="1" applyFill="1" applyBorder="1"/>
    <xf numFmtId="3" fontId="27" fillId="12" borderId="29" xfId="0" applyNumberFormat="1" applyFont="1" applyFill="1" applyBorder="1"/>
    <xf numFmtId="3" fontId="27" fillId="6" borderId="40" xfId="0" applyNumberFormat="1" applyFont="1" applyFill="1" applyBorder="1" applyAlignment="1">
      <alignment horizontal="right"/>
    </xf>
    <xf numFmtId="4" fontId="21" fillId="0" borderId="44" xfId="0" applyNumberFormat="1" applyFont="1" applyFill="1" applyBorder="1"/>
    <xf numFmtId="0" fontId="39" fillId="14" borderId="49" xfId="0" applyFont="1" applyFill="1" applyBorder="1"/>
    <xf numFmtId="0" fontId="33" fillId="14" borderId="27" xfId="0" applyFont="1" applyFill="1" applyBorder="1"/>
    <xf numFmtId="0" fontId="33" fillId="14" borderId="44" xfId="0" applyFont="1" applyFill="1" applyBorder="1"/>
    <xf numFmtId="3" fontId="21" fillId="0" borderId="27" xfId="0" applyNumberFormat="1" applyFont="1" applyFill="1" applyBorder="1"/>
    <xf numFmtId="0" fontId="36" fillId="11" borderId="8" xfId="0" applyFont="1" applyFill="1" applyBorder="1"/>
    <xf numFmtId="0" fontId="34" fillId="11" borderId="29" xfId="0" applyFont="1" applyFill="1" applyBorder="1" applyAlignment="1">
      <alignment horizontal="center"/>
    </xf>
    <xf numFmtId="0" fontId="34" fillId="11" borderId="9" xfId="0" applyFont="1" applyFill="1" applyBorder="1"/>
    <xf numFmtId="3" fontId="27" fillId="12" borderId="9" xfId="0" applyNumberFormat="1" applyFont="1" applyFill="1" applyBorder="1"/>
    <xf numFmtId="0" fontId="3" fillId="0" borderId="0" xfId="0" applyFont="1" applyBorder="1"/>
    <xf numFmtId="3" fontId="3" fillId="0" borderId="0" xfId="0" applyNumberFormat="1" applyFont="1" applyBorder="1"/>
    <xf numFmtId="0" fontId="11" fillId="0" borderId="0" xfId="0" applyFont="1" applyBorder="1" applyAlignment="1">
      <alignment horizontal="left" vertical="center" wrapText="1"/>
    </xf>
    <xf numFmtId="3" fontId="11" fillId="0" borderId="0" xfId="0" applyNumberFormat="1" applyFont="1" applyBorder="1"/>
    <xf numFmtId="3" fontId="11" fillId="0" borderId="0" xfId="0" applyNumberFormat="1" applyFont="1" applyFill="1" applyBorder="1"/>
    <xf numFmtId="0" fontId="11" fillId="0" borderId="0" xfId="0" applyFont="1" applyBorder="1"/>
    <xf numFmtId="0" fontId="35" fillId="14" borderId="6" xfId="0" applyFont="1" applyFill="1" applyBorder="1" applyAlignment="1">
      <alignment horizontal="left" indent="1"/>
    </xf>
    <xf numFmtId="3" fontId="25" fillId="0" borderId="41" xfId="0" applyNumberFormat="1" applyFont="1" applyFill="1" applyBorder="1"/>
    <xf numFmtId="0" fontId="0" fillId="0" borderId="1" xfId="0" applyFont="1" applyBorder="1"/>
    <xf numFmtId="0" fontId="52" fillId="0" borderId="34" xfId="0" applyFont="1" applyFill="1" applyBorder="1"/>
    <xf numFmtId="3" fontId="45" fillId="0" borderId="0" xfId="0" applyNumberFormat="1" applyFont="1" applyBorder="1"/>
    <xf numFmtId="0" fontId="52" fillId="0" borderId="0" xfId="0" applyFont="1" applyBorder="1"/>
    <xf numFmtId="0" fontId="9" fillId="0" borderId="36" xfId="0" applyFont="1" applyBorder="1"/>
    <xf numFmtId="3" fontId="17" fillId="0" borderId="37" xfId="0" applyNumberFormat="1" applyFont="1" applyBorder="1"/>
    <xf numFmtId="3" fontId="17" fillId="0" borderId="38" xfId="0" applyNumberFormat="1" applyFont="1" applyBorder="1"/>
    <xf numFmtId="3" fontId="17" fillId="0" borderId="39" xfId="0" applyNumberFormat="1" applyFont="1" applyBorder="1"/>
    <xf numFmtId="3" fontId="17" fillId="0" borderId="0" xfId="0" applyNumberFormat="1" applyFont="1" applyBorder="1"/>
    <xf numFmtId="0" fontId="53" fillId="0" borderId="0" xfId="0" applyFont="1" applyBorder="1"/>
    <xf numFmtId="0" fontId="54" fillId="0" borderId="0" xfId="0" applyFont="1" applyBorder="1"/>
    <xf numFmtId="0" fontId="55" fillId="0" borderId="0" xfId="0" applyFont="1"/>
    <xf numFmtId="4" fontId="0" fillId="0" borderId="0" xfId="0" applyNumberFormat="1"/>
    <xf numFmtId="3" fontId="45" fillId="0" borderId="14" xfId="0" applyNumberFormat="1" applyFont="1" applyBorder="1"/>
    <xf numFmtId="0" fontId="21" fillId="0" borderId="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14" borderId="0" xfId="0" applyFont="1" applyFill="1" applyBorder="1" applyAlignment="1">
      <alignment horizontal="center"/>
    </xf>
    <xf numFmtId="0" fontId="20" fillId="14" borderId="20" xfId="0" applyFont="1" applyFill="1" applyBorder="1" applyAlignment="1">
      <alignment horizontal="center"/>
    </xf>
    <xf numFmtId="0" fontId="33" fillId="14" borderId="45" xfId="0" applyFont="1" applyFill="1" applyBorder="1" applyAlignment="1">
      <alignment horizontal="center" vertical="center"/>
    </xf>
    <xf numFmtId="0" fontId="33" fillId="14" borderId="46" xfId="0" applyFont="1" applyFill="1" applyBorder="1" applyAlignment="1">
      <alignment horizontal="center" vertical="center"/>
    </xf>
    <xf numFmtId="0" fontId="33" fillId="14" borderId="43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8" xfId="0" applyFont="1" applyBorder="1" applyAlignment="1"/>
    <xf numFmtId="0" fontId="9" fillId="0" borderId="9" xfId="0" applyFont="1" applyBorder="1" applyAlignment="1"/>
    <xf numFmtId="0" fontId="12" fillId="0" borderId="9" xfId="0" applyFont="1" applyBorder="1" applyAlignment="1"/>
    <xf numFmtId="0" fontId="7" fillId="0" borderId="0" xfId="1" applyFont="1" applyAlignment="1">
      <alignment horizontal="center"/>
    </xf>
    <xf numFmtId="0" fontId="52" fillId="0" borderId="11" xfId="0" applyFont="1" applyBorder="1" applyAlignment="1">
      <alignment horizontal="left" vertical="center" wrapText="1"/>
    </xf>
    <xf numFmtId="0" fontId="43" fillId="0" borderId="8" xfId="0" applyFont="1" applyBorder="1" applyAlignment="1"/>
    <xf numFmtId="0" fontId="43" fillId="0" borderId="9" xfId="0" applyFont="1" applyBorder="1" applyAlignment="1"/>
    <xf numFmtId="0" fontId="40" fillId="0" borderId="9" xfId="0" applyFont="1" applyBorder="1" applyAlignment="1"/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3" fillId="0" borderId="22" xfId="0" applyFont="1" applyFill="1" applyBorder="1" applyAlignment="1"/>
    <xf numFmtId="0" fontId="43" fillId="0" borderId="23" xfId="0" applyFont="1" applyFill="1" applyBorder="1" applyAlignment="1"/>
    <xf numFmtId="0" fontId="40" fillId="0" borderId="23" xfId="0" applyFont="1" applyFill="1" applyBorder="1" applyAlignment="1"/>
    <xf numFmtId="0" fontId="46" fillId="0" borderId="31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9" fillId="0" borderId="22" xfId="0" applyFont="1" applyFill="1" applyBorder="1" applyAlignment="1"/>
    <xf numFmtId="0" fontId="9" fillId="0" borderId="23" xfId="0" applyFont="1" applyFill="1" applyBorder="1" applyAlignment="1"/>
    <xf numFmtId="0" fontId="12" fillId="0" borderId="23" xfId="0" applyFont="1" applyFill="1" applyBorder="1" applyAlignment="1"/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21" fillId="3" borderId="12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48" fillId="0" borderId="0" xfId="0" applyNumberFormat="1" applyFont="1" applyFill="1" applyBorder="1" applyAlignment="1" applyProtection="1">
      <alignment horizontal="center"/>
      <protection locked="0"/>
    </xf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opLeftCell="A109" workbookViewId="0">
      <selection activeCell="R12" sqref="R12:T115"/>
    </sheetView>
  </sheetViews>
  <sheetFormatPr defaultRowHeight="15"/>
  <cols>
    <col min="1" max="1" width="6.140625" customWidth="1"/>
    <col min="2" max="2" width="26" customWidth="1"/>
    <col min="3" max="3" width="7.140625" customWidth="1"/>
    <col min="17" max="17" width="10.28515625" hidden="1" customWidth="1"/>
    <col min="18" max="18" width="11.85546875" customWidth="1"/>
  </cols>
  <sheetData>
    <row r="1" spans="1:19">
      <c r="A1" s="56"/>
      <c r="B1" s="57"/>
      <c r="C1" s="56"/>
      <c r="D1" s="58"/>
      <c r="E1" s="4"/>
      <c r="F1" s="4"/>
      <c r="G1" s="4"/>
      <c r="H1" s="4"/>
      <c r="I1" s="4"/>
      <c r="J1" s="4"/>
      <c r="K1" s="4"/>
      <c r="L1" s="6" t="s">
        <v>195</v>
      </c>
      <c r="M1" s="6"/>
      <c r="N1" s="6"/>
      <c r="O1" s="6"/>
      <c r="P1" s="6"/>
    </row>
    <row r="2" spans="1:19">
      <c r="A2" s="56"/>
      <c r="B2" s="57"/>
      <c r="C2" s="56"/>
      <c r="D2" s="58"/>
      <c r="E2" s="4"/>
      <c r="F2" s="4"/>
      <c r="G2" s="4"/>
      <c r="H2" s="4"/>
      <c r="I2" s="4"/>
      <c r="J2" s="4"/>
      <c r="K2" s="4"/>
      <c r="L2" s="5" t="s">
        <v>299</v>
      </c>
      <c r="M2" s="5"/>
      <c r="N2" s="5"/>
      <c r="O2" s="5"/>
      <c r="P2" s="5"/>
    </row>
    <row r="3" spans="1:19">
      <c r="A3" s="56"/>
      <c r="B3" s="57"/>
      <c r="C3" s="56"/>
      <c r="D3" s="58"/>
      <c r="E3" s="4"/>
      <c r="F3" s="4"/>
      <c r="G3" s="4"/>
      <c r="H3" s="4"/>
      <c r="I3" s="4"/>
      <c r="J3" s="4"/>
      <c r="K3" s="4"/>
      <c r="L3" s="5" t="s">
        <v>0</v>
      </c>
      <c r="M3" s="5"/>
      <c r="N3" s="5"/>
      <c r="O3" s="5"/>
      <c r="P3" s="5"/>
    </row>
    <row r="4" spans="1:19">
      <c r="A4" s="56"/>
      <c r="B4" s="57"/>
      <c r="C4" s="56"/>
      <c r="D4" s="58"/>
      <c r="E4" s="4"/>
      <c r="F4" s="4"/>
      <c r="G4" s="4"/>
      <c r="H4" s="4"/>
      <c r="I4" s="4"/>
      <c r="J4" s="4"/>
      <c r="K4" s="4"/>
      <c r="L4" s="5" t="s">
        <v>300</v>
      </c>
      <c r="M4" s="5"/>
      <c r="N4" s="5"/>
      <c r="O4" s="5"/>
      <c r="P4" s="5"/>
    </row>
    <row r="5" spans="1:19">
      <c r="A5" s="56"/>
      <c r="B5" s="57"/>
      <c r="C5" s="56"/>
      <c r="D5" s="58"/>
      <c r="E5" s="4"/>
      <c r="F5" s="4"/>
      <c r="G5" s="4"/>
      <c r="H5" s="4"/>
      <c r="I5" s="4"/>
      <c r="J5" s="4"/>
      <c r="K5" s="4"/>
      <c r="L5" s="4"/>
      <c r="M5" s="4"/>
      <c r="N5" s="59"/>
      <c r="O5" s="4"/>
      <c r="P5" s="4"/>
    </row>
    <row r="6" spans="1:19">
      <c r="A6" s="319" t="s">
        <v>225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</row>
    <row r="7" spans="1:19" ht="15.75" thickBot="1">
      <c r="A7" s="320" t="s">
        <v>52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</row>
    <row r="8" spans="1:19">
      <c r="A8" s="321" t="s">
        <v>53</v>
      </c>
      <c r="B8" s="324" t="s">
        <v>54</v>
      </c>
      <c r="C8" s="327" t="s">
        <v>55</v>
      </c>
      <c r="D8" s="330" t="s">
        <v>226</v>
      </c>
      <c r="E8" s="313" t="s">
        <v>56</v>
      </c>
      <c r="F8" s="316" t="s">
        <v>57</v>
      </c>
      <c r="G8" s="313" t="s">
        <v>58</v>
      </c>
      <c r="H8" s="316" t="s">
        <v>59</v>
      </c>
      <c r="I8" s="313" t="s">
        <v>60</v>
      </c>
      <c r="J8" s="316" t="s">
        <v>61</v>
      </c>
      <c r="K8" s="313" t="s">
        <v>62</v>
      </c>
      <c r="L8" s="316" t="s">
        <v>63</v>
      </c>
      <c r="M8" s="313" t="s">
        <v>64</v>
      </c>
      <c r="N8" s="316" t="s">
        <v>65</v>
      </c>
      <c r="O8" s="313" t="s">
        <v>66</v>
      </c>
      <c r="P8" s="313" t="s">
        <v>67</v>
      </c>
    </row>
    <row r="9" spans="1:19">
      <c r="A9" s="322"/>
      <c r="B9" s="325"/>
      <c r="C9" s="328"/>
      <c r="D9" s="331"/>
      <c r="E9" s="314"/>
      <c r="F9" s="317"/>
      <c r="G9" s="314"/>
      <c r="H9" s="317"/>
      <c r="I9" s="314"/>
      <c r="J9" s="317"/>
      <c r="K9" s="314"/>
      <c r="L9" s="317"/>
      <c r="M9" s="314"/>
      <c r="N9" s="317"/>
      <c r="O9" s="314"/>
      <c r="P9" s="314"/>
    </row>
    <row r="10" spans="1:19" ht="15.75" thickBot="1">
      <c r="A10" s="323"/>
      <c r="B10" s="326"/>
      <c r="C10" s="329"/>
      <c r="D10" s="332"/>
      <c r="E10" s="315"/>
      <c r="F10" s="318"/>
      <c r="G10" s="315"/>
      <c r="H10" s="318"/>
      <c r="I10" s="315"/>
      <c r="J10" s="318"/>
      <c r="K10" s="315"/>
      <c r="L10" s="318"/>
      <c r="M10" s="315"/>
      <c r="N10" s="318"/>
      <c r="O10" s="315"/>
      <c r="P10" s="315"/>
    </row>
    <row r="11" spans="1:19" ht="15.75" thickBot="1">
      <c r="A11" s="60">
        <v>1</v>
      </c>
      <c r="B11" s="60">
        <v>2</v>
      </c>
      <c r="C11" s="61">
        <v>3</v>
      </c>
      <c r="D11" s="62">
        <v>4</v>
      </c>
      <c r="E11" s="63">
        <v>5</v>
      </c>
      <c r="F11" s="64">
        <v>6</v>
      </c>
      <c r="G11" s="63">
        <v>7</v>
      </c>
      <c r="H11" s="64">
        <v>8</v>
      </c>
      <c r="I11" s="63">
        <v>9</v>
      </c>
      <c r="J11" s="64">
        <v>10</v>
      </c>
      <c r="K11" s="63">
        <v>11</v>
      </c>
      <c r="L11" s="64">
        <v>12</v>
      </c>
      <c r="M11" s="63">
        <v>13</v>
      </c>
      <c r="N11" s="64">
        <v>14</v>
      </c>
      <c r="O11" s="63">
        <v>15</v>
      </c>
      <c r="P11" s="63">
        <v>16</v>
      </c>
    </row>
    <row r="12" spans="1:19">
      <c r="A12" s="65" t="s">
        <v>68</v>
      </c>
      <c r="B12" s="66" t="s">
        <v>69</v>
      </c>
      <c r="C12" s="67"/>
      <c r="D12" s="68">
        <f>SUM(D13:D14)</f>
        <v>81282</v>
      </c>
      <c r="E12" s="68">
        <f t="shared" ref="E12:P12" si="0">SUM(E13:E14)</f>
        <v>0</v>
      </c>
      <c r="F12" s="68">
        <f t="shared" si="0"/>
        <v>2500</v>
      </c>
      <c r="G12" s="68">
        <f t="shared" si="0"/>
        <v>0</v>
      </c>
      <c r="H12" s="68">
        <f t="shared" si="0"/>
        <v>0</v>
      </c>
      <c r="I12" s="68">
        <f t="shared" si="0"/>
        <v>2600</v>
      </c>
      <c r="J12" s="68">
        <f t="shared" si="0"/>
        <v>6000</v>
      </c>
      <c r="K12" s="68">
        <f t="shared" si="0"/>
        <v>0</v>
      </c>
      <c r="L12" s="68">
        <f t="shared" si="0"/>
        <v>2600</v>
      </c>
      <c r="M12" s="68">
        <f t="shared" si="0"/>
        <v>0</v>
      </c>
      <c r="N12" s="68">
        <f t="shared" si="0"/>
        <v>0</v>
      </c>
      <c r="O12" s="68">
        <f t="shared" si="0"/>
        <v>2600</v>
      </c>
      <c r="P12" s="68">
        <f t="shared" si="0"/>
        <v>64982</v>
      </c>
      <c r="Q12" s="123">
        <f>SUM(E12:P12)</f>
        <v>81282</v>
      </c>
      <c r="R12" s="123"/>
      <c r="S12" s="123"/>
    </row>
    <row r="13" spans="1:19" s="4" customFormat="1">
      <c r="A13" s="124"/>
      <c r="B13" s="125" t="s">
        <v>149</v>
      </c>
      <c r="C13" s="126" t="s">
        <v>150</v>
      </c>
      <c r="D13" s="127">
        <v>64982</v>
      </c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7">
        <v>64982</v>
      </c>
      <c r="Q13" s="123">
        <f>SUM(E13:P13)</f>
        <v>64982</v>
      </c>
      <c r="R13" s="123"/>
      <c r="S13" s="123"/>
    </row>
    <row r="14" spans="1:19">
      <c r="A14" s="69"/>
      <c r="B14" s="70" t="s">
        <v>70</v>
      </c>
      <c r="C14" s="71" t="s">
        <v>71</v>
      </c>
      <c r="D14" s="72">
        <v>16300</v>
      </c>
      <c r="E14" s="73"/>
      <c r="F14" s="74">
        <v>2500</v>
      </c>
      <c r="G14" s="73"/>
      <c r="H14" s="74"/>
      <c r="I14" s="73">
        <v>2600</v>
      </c>
      <c r="J14" s="74">
        <v>6000</v>
      </c>
      <c r="K14" s="73"/>
      <c r="L14" s="74">
        <v>2600</v>
      </c>
      <c r="M14" s="73"/>
      <c r="N14" s="74"/>
      <c r="O14" s="73">
        <v>2600</v>
      </c>
      <c r="P14" s="73"/>
      <c r="Q14" s="123">
        <f t="shared" ref="Q14:Q80" si="1">SUM(E14:P14)</f>
        <v>16300</v>
      </c>
      <c r="R14" s="123"/>
      <c r="S14" s="123"/>
    </row>
    <row r="15" spans="1:19">
      <c r="A15" s="75" t="s">
        <v>72</v>
      </c>
      <c r="B15" s="76" t="s">
        <v>73</v>
      </c>
      <c r="C15" s="77"/>
      <c r="D15" s="78">
        <f>SUM(D16)</f>
        <v>253000</v>
      </c>
      <c r="E15" s="78">
        <f t="shared" ref="E15:P15" si="2">SUM(E16)</f>
        <v>20000</v>
      </c>
      <c r="F15" s="79">
        <f t="shared" si="2"/>
        <v>20000</v>
      </c>
      <c r="G15" s="78">
        <f t="shared" si="2"/>
        <v>20000</v>
      </c>
      <c r="H15" s="79">
        <f t="shared" si="2"/>
        <v>27000</v>
      </c>
      <c r="I15" s="78">
        <f t="shared" si="2"/>
        <v>20750</v>
      </c>
      <c r="J15" s="79">
        <f t="shared" si="2"/>
        <v>20750</v>
      </c>
      <c r="K15" s="78">
        <f t="shared" si="2"/>
        <v>20750</v>
      </c>
      <c r="L15" s="79">
        <f t="shared" si="2"/>
        <v>20750</v>
      </c>
      <c r="M15" s="78">
        <f t="shared" si="2"/>
        <v>20750</v>
      </c>
      <c r="N15" s="79">
        <f t="shared" si="2"/>
        <v>20750</v>
      </c>
      <c r="O15" s="78">
        <f t="shared" si="2"/>
        <v>20750</v>
      </c>
      <c r="P15" s="78">
        <f t="shared" si="2"/>
        <v>20750</v>
      </c>
      <c r="Q15" s="123">
        <f t="shared" si="1"/>
        <v>253000</v>
      </c>
      <c r="R15" s="123"/>
      <c r="S15" s="123"/>
    </row>
    <row r="16" spans="1:19">
      <c r="A16" s="69"/>
      <c r="B16" s="80" t="s">
        <v>70</v>
      </c>
      <c r="C16" s="71" t="s">
        <v>74</v>
      </c>
      <c r="D16" s="81">
        <v>253000</v>
      </c>
      <c r="E16" s="82">
        <v>20000</v>
      </c>
      <c r="F16" s="83">
        <v>20000</v>
      </c>
      <c r="G16" s="82">
        <v>20000</v>
      </c>
      <c r="H16" s="83">
        <v>27000</v>
      </c>
      <c r="I16" s="82">
        <v>20750</v>
      </c>
      <c r="J16" s="83">
        <v>20750</v>
      </c>
      <c r="K16" s="82">
        <v>20750</v>
      </c>
      <c r="L16" s="83">
        <v>20750</v>
      </c>
      <c r="M16" s="82">
        <v>20750</v>
      </c>
      <c r="N16" s="83">
        <v>20750</v>
      </c>
      <c r="O16" s="82">
        <v>20750</v>
      </c>
      <c r="P16" s="82">
        <v>20750</v>
      </c>
      <c r="Q16" s="123">
        <f t="shared" si="1"/>
        <v>253000</v>
      </c>
      <c r="R16" s="123"/>
      <c r="S16" s="123"/>
    </row>
    <row r="17" spans="1:19">
      <c r="A17" s="75" t="s">
        <v>75</v>
      </c>
      <c r="B17" s="76" t="s">
        <v>76</v>
      </c>
      <c r="C17" s="84"/>
      <c r="D17" s="85">
        <f>SUM(D18)</f>
        <v>900</v>
      </c>
      <c r="E17" s="85">
        <f t="shared" ref="E17:P17" si="3">SUM(E18)</f>
        <v>30</v>
      </c>
      <c r="F17" s="86">
        <f t="shared" si="3"/>
        <v>40</v>
      </c>
      <c r="G17" s="85">
        <f t="shared" si="3"/>
        <v>140</v>
      </c>
      <c r="H17" s="86">
        <f t="shared" si="3"/>
        <v>150</v>
      </c>
      <c r="I17" s="85">
        <f t="shared" si="3"/>
        <v>170</v>
      </c>
      <c r="J17" s="86">
        <f t="shared" si="3"/>
        <v>120</v>
      </c>
      <c r="K17" s="85">
        <f t="shared" si="3"/>
        <v>80</v>
      </c>
      <c r="L17" s="86">
        <f t="shared" si="3"/>
        <v>70</v>
      </c>
      <c r="M17" s="85">
        <f t="shared" si="3"/>
        <v>30</v>
      </c>
      <c r="N17" s="86">
        <f t="shared" si="3"/>
        <v>20</v>
      </c>
      <c r="O17" s="85">
        <f t="shared" si="3"/>
        <v>20</v>
      </c>
      <c r="P17" s="85">
        <f t="shared" si="3"/>
        <v>30</v>
      </c>
      <c r="Q17" s="123">
        <f t="shared" si="1"/>
        <v>900</v>
      </c>
      <c r="R17" s="123"/>
      <c r="S17" s="123"/>
    </row>
    <row r="18" spans="1:19">
      <c r="A18" s="69"/>
      <c r="B18" s="80" t="s">
        <v>70</v>
      </c>
      <c r="C18" s="71" t="s">
        <v>77</v>
      </c>
      <c r="D18" s="81">
        <v>900</v>
      </c>
      <c r="E18" s="82">
        <v>30</v>
      </c>
      <c r="F18" s="83">
        <v>40</v>
      </c>
      <c r="G18" s="82">
        <v>140</v>
      </c>
      <c r="H18" s="83">
        <v>150</v>
      </c>
      <c r="I18" s="82">
        <v>170</v>
      </c>
      <c r="J18" s="83">
        <v>120</v>
      </c>
      <c r="K18" s="82">
        <v>80</v>
      </c>
      <c r="L18" s="83">
        <v>70</v>
      </c>
      <c r="M18" s="82">
        <v>30</v>
      </c>
      <c r="N18" s="83">
        <v>20</v>
      </c>
      <c r="O18" s="82">
        <v>20</v>
      </c>
      <c r="P18" s="82">
        <v>30</v>
      </c>
      <c r="Q18" s="123">
        <f t="shared" si="1"/>
        <v>900</v>
      </c>
      <c r="R18" s="123"/>
      <c r="S18" s="123"/>
    </row>
    <row r="19" spans="1:19">
      <c r="A19" s="87">
        <v>600</v>
      </c>
      <c r="B19" s="76" t="s">
        <v>78</v>
      </c>
      <c r="C19" s="77"/>
      <c r="D19" s="78">
        <f>SUM(D20+D22)</f>
        <v>2028424</v>
      </c>
      <c r="E19" s="78">
        <f>SUM(E20+E22)</f>
        <v>169035</v>
      </c>
      <c r="F19" s="78">
        <f t="shared" ref="F19:P19" si="4">SUM(F20+F22)</f>
        <v>169035</v>
      </c>
      <c r="G19" s="78">
        <f t="shared" si="4"/>
        <v>169035</v>
      </c>
      <c r="H19" s="78">
        <f t="shared" si="4"/>
        <v>169035</v>
      </c>
      <c r="I19" s="78">
        <f t="shared" si="4"/>
        <v>169035</v>
      </c>
      <c r="J19" s="78">
        <f t="shared" si="4"/>
        <v>169035</v>
      </c>
      <c r="K19" s="78">
        <f t="shared" si="4"/>
        <v>169035</v>
      </c>
      <c r="L19" s="78">
        <f t="shared" si="4"/>
        <v>169035</v>
      </c>
      <c r="M19" s="78">
        <f t="shared" si="4"/>
        <v>169036</v>
      </c>
      <c r="N19" s="78">
        <f t="shared" si="4"/>
        <v>169036</v>
      </c>
      <c r="O19" s="78">
        <f t="shared" si="4"/>
        <v>169036</v>
      </c>
      <c r="P19" s="78">
        <f t="shared" si="4"/>
        <v>169036</v>
      </c>
      <c r="Q19" s="123">
        <f>SUM(E19:P19)</f>
        <v>2028424</v>
      </c>
      <c r="R19" s="123"/>
      <c r="S19" s="123"/>
    </row>
    <row r="20" spans="1:19">
      <c r="A20" s="88"/>
      <c r="B20" s="131" t="s">
        <v>79</v>
      </c>
      <c r="C20" s="89">
        <v>60014</v>
      </c>
      <c r="D20" s="130">
        <f t="shared" ref="D20:P20" si="5">SUM(D21:D21)</f>
        <v>105000</v>
      </c>
      <c r="E20" s="130">
        <f t="shared" si="5"/>
        <v>8750</v>
      </c>
      <c r="F20" s="130">
        <f t="shared" si="5"/>
        <v>8750</v>
      </c>
      <c r="G20" s="130">
        <f t="shared" si="5"/>
        <v>8750</v>
      </c>
      <c r="H20" s="130">
        <f t="shared" si="5"/>
        <v>8750</v>
      </c>
      <c r="I20" s="130">
        <f t="shared" si="5"/>
        <v>8750</v>
      </c>
      <c r="J20" s="130">
        <f t="shared" si="5"/>
        <v>8750</v>
      </c>
      <c r="K20" s="130">
        <f t="shared" si="5"/>
        <v>8750</v>
      </c>
      <c r="L20" s="130">
        <f t="shared" si="5"/>
        <v>8750</v>
      </c>
      <c r="M20" s="130">
        <f t="shared" si="5"/>
        <v>8750</v>
      </c>
      <c r="N20" s="130">
        <f t="shared" si="5"/>
        <v>8750</v>
      </c>
      <c r="O20" s="130">
        <f t="shared" si="5"/>
        <v>8750</v>
      </c>
      <c r="P20" s="130">
        <f t="shared" si="5"/>
        <v>8750</v>
      </c>
      <c r="Q20" s="123">
        <f t="shared" si="1"/>
        <v>105000</v>
      </c>
      <c r="R20" s="123"/>
      <c r="S20" s="123"/>
    </row>
    <row r="21" spans="1:19" s="4" customFormat="1">
      <c r="A21" s="88"/>
      <c r="B21" s="129" t="s">
        <v>151</v>
      </c>
      <c r="C21" s="89"/>
      <c r="D21" s="90">
        <v>105000</v>
      </c>
      <c r="E21" s="82">
        <v>8750</v>
      </c>
      <c r="F21" s="83">
        <v>8750</v>
      </c>
      <c r="G21" s="82">
        <v>8750</v>
      </c>
      <c r="H21" s="83">
        <v>8750</v>
      </c>
      <c r="I21" s="82">
        <v>8750</v>
      </c>
      <c r="J21" s="83">
        <v>8750</v>
      </c>
      <c r="K21" s="82">
        <v>8750</v>
      </c>
      <c r="L21" s="83">
        <v>8750</v>
      </c>
      <c r="M21" s="82">
        <v>8750</v>
      </c>
      <c r="N21" s="83">
        <v>8750</v>
      </c>
      <c r="O21" s="82">
        <v>8750</v>
      </c>
      <c r="P21" s="82">
        <v>8750</v>
      </c>
      <c r="Q21" s="123">
        <f t="shared" si="1"/>
        <v>105000</v>
      </c>
      <c r="R21" s="123"/>
      <c r="S21" s="123"/>
    </row>
    <row r="22" spans="1:19">
      <c r="A22" s="88"/>
      <c r="B22" s="80" t="s">
        <v>70</v>
      </c>
      <c r="C22" s="89">
        <v>60095</v>
      </c>
      <c r="D22" s="90">
        <f>1920864+2560</f>
        <v>1923424</v>
      </c>
      <c r="E22" s="82">
        <v>160285</v>
      </c>
      <c r="F22" s="83">
        <v>160285</v>
      </c>
      <c r="G22" s="82">
        <v>160285</v>
      </c>
      <c r="H22" s="83">
        <v>160285</v>
      </c>
      <c r="I22" s="82">
        <v>160285</v>
      </c>
      <c r="J22" s="83">
        <v>160285</v>
      </c>
      <c r="K22" s="82">
        <v>160285</v>
      </c>
      <c r="L22" s="83">
        <v>160285</v>
      </c>
      <c r="M22" s="82">
        <v>160286</v>
      </c>
      <c r="N22" s="83">
        <v>160286</v>
      </c>
      <c r="O22" s="82">
        <v>160286</v>
      </c>
      <c r="P22" s="82">
        <v>160286</v>
      </c>
      <c r="Q22" s="123">
        <f t="shared" si="1"/>
        <v>1923424</v>
      </c>
      <c r="R22" s="123"/>
      <c r="S22" s="123"/>
    </row>
    <row r="23" spans="1:19">
      <c r="A23" s="87">
        <v>700</v>
      </c>
      <c r="B23" s="76" t="s">
        <v>80</v>
      </c>
      <c r="C23" s="77"/>
      <c r="D23" s="78">
        <f>SUM(D24)</f>
        <v>456627</v>
      </c>
      <c r="E23" s="78">
        <f t="shared" ref="E23:P23" si="6">SUM(E24)</f>
        <v>10310</v>
      </c>
      <c r="F23" s="78">
        <f t="shared" si="6"/>
        <v>18731</v>
      </c>
      <c r="G23" s="78">
        <f t="shared" si="6"/>
        <v>336869</v>
      </c>
      <c r="H23" s="78">
        <f t="shared" si="6"/>
        <v>8511</v>
      </c>
      <c r="I23" s="78">
        <f t="shared" si="6"/>
        <v>9012</v>
      </c>
      <c r="J23" s="78">
        <f t="shared" si="6"/>
        <v>16012</v>
      </c>
      <c r="K23" s="78">
        <f t="shared" si="6"/>
        <v>8512</v>
      </c>
      <c r="L23" s="78">
        <f t="shared" si="6"/>
        <v>8512</v>
      </c>
      <c r="M23" s="78">
        <f t="shared" si="6"/>
        <v>13012</v>
      </c>
      <c r="N23" s="78">
        <f t="shared" si="6"/>
        <v>11513</v>
      </c>
      <c r="O23" s="78">
        <f t="shared" si="6"/>
        <v>8013</v>
      </c>
      <c r="P23" s="78">
        <f t="shared" si="6"/>
        <v>7620</v>
      </c>
      <c r="Q23" s="123">
        <f t="shared" si="1"/>
        <v>456627</v>
      </c>
      <c r="R23" s="123"/>
      <c r="S23" s="123"/>
    </row>
    <row r="24" spans="1:19">
      <c r="A24" s="69"/>
      <c r="B24" s="80" t="s">
        <v>81</v>
      </c>
      <c r="C24" s="89">
        <v>70005</v>
      </c>
      <c r="D24" s="90">
        <f>SUM(D25:D26)</f>
        <v>456627</v>
      </c>
      <c r="E24" s="91">
        <f t="shared" ref="E24:P24" si="7">SUM(E25:E26)</f>
        <v>10310</v>
      </c>
      <c r="F24" s="91">
        <f t="shared" si="7"/>
        <v>18731</v>
      </c>
      <c r="G24" s="91">
        <f t="shared" si="7"/>
        <v>336869</v>
      </c>
      <c r="H24" s="91">
        <f t="shared" si="7"/>
        <v>8511</v>
      </c>
      <c r="I24" s="91">
        <f t="shared" si="7"/>
        <v>9012</v>
      </c>
      <c r="J24" s="91">
        <f t="shared" si="7"/>
        <v>16012</v>
      </c>
      <c r="K24" s="91">
        <f t="shared" si="7"/>
        <v>8512</v>
      </c>
      <c r="L24" s="91">
        <f t="shared" si="7"/>
        <v>8512</v>
      </c>
      <c r="M24" s="91">
        <f t="shared" si="7"/>
        <v>13012</v>
      </c>
      <c r="N24" s="91">
        <f t="shared" si="7"/>
        <v>11513</v>
      </c>
      <c r="O24" s="91">
        <f t="shared" si="7"/>
        <v>8013</v>
      </c>
      <c r="P24" s="91">
        <f t="shared" si="7"/>
        <v>7620</v>
      </c>
      <c r="Q24" s="123">
        <f t="shared" si="1"/>
        <v>456627</v>
      </c>
      <c r="R24" s="123"/>
      <c r="S24" s="123"/>
    </row>
    <row r="25" spans="1:19" s="231" customFormat="1">
      <c r="A25" s="69"/>
      <c r="B25" s="80" t="s">
        <v>82</v>
      </c>
      <c r="C25" s="89"/>
      <c r="D25" s="90">
        <v>326667</v>
      </c>
      <c r="E25" s="91">
        <v>1799</v>
      </c>
      <c r="F25" s="92"/>
      <c r="G25" s="91">
        <v>324868</v>
      </c>
      <c r="H25" s="92"/>
      <c r="I25" s="91"/>
      <c r="J25" s="92"/>
      <c r="K25" s="91"/>
      <c r="L25" s="92"/>
      <c r="M25" s="91"/>
      <c r="N25" s="92"/>
      <c r="O25" s="91"/>
      <c r="P25" s="91"/>
      <c r="Q25" s="180">
        <f t="shared" si="1"/>
        <v>326667</v>
      </c>
      <c r="R25" s="180"/>
      <c r="S25" s="123"/>
    </row>
    <row r="26" spans="1:19">
      <c r="A26" s="69"/>
      <c r="B26" s="80" t="s">
        <v>83</v>
      </c>
      <c r="C26" s="89"/>
      <c r="D26" s="90">
        <v>129960</v>
      </c>
      <c r="E26" s="82">
        <v>8511</v>
      </c>
      <c r="F26" s="83">
        <v>18731</v>
      </c>
      <c r="G26" s="82">
        <v>12001</v>
      </c>
      <c r="H26" s="83">
        <v>8511</v>
      </c>
      <c r="I26" s="82">
        <v>9012</v>
      </c>
      <c r="J26" s="83">
        <v>16012</v>
      </c>
      <c r="K26" s="82">
        <v>8512</v>
      </c>
      <c r="L26" s="83">
        <v>8512</v>
      </c>
      <c r="M26" s="82">
        <v>13012</v>
      </c>
      <c r="N26" s="83">
        <v>11513</v>
      </c>
      <c r="O26" s="82">
        <v>8013</v>
      </c>
      <c r="P26" s="82">
        <v>7620</v>
      </c>
      <c r="Q26" s="123">
        <f t="shared" si="1"/>
        <v>129960</v>
      </c>
      <c r="R26" s="123"/>
      <c r="S26" s="123"/>
    </row>
    <row r="27" spans="1:19">
      <c r="A27" s="87">
        <v>710</v>
      </c>
      <c r="B27" s="76" t="s">
        <v>84</v>
      </c>
      <c r="C27" s="77"/>
      <c r="D27" s="78">
        <f>SUM(D28+D31+D32)</f>
        <v>827979</v>
      </c>
      <c r="E27" s="78">
        <f t="shared" ref="E27:P27" si="8">SUM(E28+E31+E32)</f>
        <v>65386</v>
      </c>
      <c r="F27" s="78">
        <f t="shared" si="8"/>
        <v>65643</v>
      </c>
      <c r="G27" s="78">
        <f t="shared" si="8"/>
        <v>78885</v>
      </c>
      <c r="H27" s="78">
        <f t="shared" si="8"/>
        <v>75334</v>
      </c>
      <c r="I27" s="78">
        <f t="shared" si="8"/>
        <v>65643</v>
      </c>
      <c r="J27" s="78">
        <f t="shared" si="8"/>
        <v>65643</v>
      </c>
      <c r="K27" s="78">
        <f t="shared" si="8"/>
        <v>65643</v>
      </c>
      <c r="L27" s="78">
        <f t="shared" si="8"/>
        <v>83173</v>
      </c>
      <c r="M27" s="78">
        <f t="shared" si="8"/>
        <v>65643</v>
      </c>
      <c r="N27" s="78">
        <f t="shared" si="8"/>
        <v>65643</v>
      </c>
      <c r="O27" s="78">
        <f t="shared" si="8"/>
        <v>65643</v>
      </c>
      <c r="P27" s="78">
        <f t="shared" si="8"/>
        <v>65700</v>
      </c>
      <c r="Q27" s="123">
        <f t="shared" si="1"/>
        <v>827979</v>
      </c>
      <c r="R27" s="123"/>
      <c r="S27" s="123"/>
    </row>
    <row r="28" spans="1:19">
      <c r="A28" s="69"/>
      <c r="B28" s="80" t="s">
        <v>85</v>
      </c>
      <c r="C28" s="89">
        <v>71015</v>
      </c>
      <c r="D28" s="90">
        <f>SUM(D29:D30)</f>
        <v>320449</v>
      </c>
      <c r="E28" s="90">
        <f t="shared" ref="E28:P28" si="9">SUM(E29:E30)</f>
        <v>24553</v>
      </c>
      <c r="F28" s="90">
        <f t="shared" si="9"/>
        <v>24810</v>
      </c>
      <c r="G28" s="90">
        <f t="shared" si="9"/>
        <v>38052</v>
      </c>
      <c r="H28" s="90">
        <f t="shared" si="9"/>
        <v>34501</v>
      </c>
      <c r="I28" s="90">
        <f t="shared" si="9"/>
        <v>24810</v>
      </c>
      <c r="J28" s="90">
        <f t="shared" si="9"/>
        <v>24810</v>
      </c>
      <c r="K28" s="90">
        <f t="shared" si="9"/>
        <v>24810</v>
      </c>
      <c r="L28" s="90">
        <f t="shared" si="9"/>
        <v>24810</v>
      </c>
      <c r="M28" s="90">
        <f t="shared" si="9"/>
        <v>24810</v>
      </c>
      <c r="N28" s="90">
        <f t="shared" si="9"/>
        <v>24810</v>
      </c>
      <c r="O28" s="90">
        <f t="shared" si="9"/>
        <v>24810</v>
      </c>
      <c r="P28" s="90">
        <f t="shared" si="9"/>
        <v>24863</v>
      </c>
      <c r="Q28" s="123">
        <f t="shared" si="1"/>
        <v>320449</v>
      </c>
      <c r="R28" s="123"/>
      <c r="S28" s="123"/>
    </row>
    <row r="29" spans="1:19">
      <c r="A29" s="69"/>
      <c r="B29" s="80" t="s">
        <v>82</v>
      </c>
      <c r="C29" s="89"/>
      <c r="D29" s="90">
        <v>53</v>
      </c>
      <c r="E29" s="82"/>
      <c r="F29" s="83"/>
      <c r="G29" s="82"/>
      <c r="H29" s="83"/>
      <c r="I29" s="82"/>
      <c r="J29" s="83"/>
      <c r="K29" s="82"/>
      <c r="L29" s="83"/>
      <c r="M29" s="82"/>
      <c r="N29" s="83"/>
      <c r="O29" s="82"/>
      <c r="P29" s="82">
        <v>53</v>
      </c>
      <c r="Q29" s="123">
        <f t="shared" si="1"/>
        <v>53</v>
      </c>
      <c r="R29" s="123"/>
      <c r="S29" s="123"/>
    </row>
    <row r="30" spans="1:19">
      <c r="A30" s="69"/>
      <c r="B30" s="80" t="s">
        <v>83</v>
      </c>
      <c r="C30" s="89"/>
      <c r="D30" s="90">
        <v>320396</v>
      </c>
      <c r="E30" s="82">
        <v>24553</v>
      </c>
      <c r="F30" s="83">
        <v>24810</v>
      </c>
      <c r="G30" s="82">
        <v>38052</v>
      </c>
      <c r="H30" s="83">
        <v>34501</v>
      </c>
      <c r="I30" s="82">
        <v>24810</v>
      </c>
      <c r="J30" s="83">
        <v>24810</v>
      </c>
      <c r="K30" s="82">
        <v>24810</v>
      </c>
      <c r="L30" s="83">
        <v>24810</v>
      </c>
      <c r="M30" s="82">
        <v>24810</v>
      </c>
      <c r="N30" s="83">
        <v>24810</v>
      </c>
      <c r="O30" s="82">
        <v>24810</v>
      </c>
      <c r="P30" s="82">
        <v>24810</v>
      </c>
      <c r="Q30" s="123">
        <f t="shared" si="1"/>
        <v>320396</v>
      </c>
      <c r="R30" s="123"/>
      <c r="S30" s="123"/>
    </row>
    <row r="31" spans="1:19">
      <c r="A31" s="69"/>
      <c r="B31" s="80" t="s">
        <v>86</v>
      </c>
      <c r="C31" s="89">
        <v>71020</v>
      </c>
      <c r="D31" s="93">
        <v>17530</v>
      </c>
      <c r="E31" s="94"/>
      <c r="F31" s="95"/>
      <c r="G31" s="94"/>
      <c r="H31" s="95"/>
      <c r="I31" s="94"/>
      <c r="J31" s="95"/>
      <c r="K31" s="94"/>
      <c r="L31" s="95">
        <v>17530</v>
      </c>
      <c r="M31" s="94"/>
      <c r="N31" s="95"/>
      <c r="O31" s="94"/>
      <c r="P31" s="94"/>
      <c r="Q31" s="123">
        <f t="shared" si="1"/>
        <v>17530</v>
      </c>
      <c r="R31" s="123"/>
      <c r="S31" s="123"/>
    </row>
    <row r="32" spans="1:19">
      <c r="A32" s="69"/>
      <c r="B32" s="80" t="s">
        <v>70</v>
      </c>
      <c r="C32" s="89">
        <v>71095</v>
      </c>
      <c r="D32" s="96">
        <v>490000</v>
      </c>
      <c r="E32" s="94">
        <v>40833</v>
      </c>
      <c r="F32" s="95">
        <v>40833</v>
      </c>
      <c r="G32" s="94">
        <v>40833</v>
      </c>
      <c r="H32" s="95">
        <v>40833</v>
      </c>
      <c r="I32" s="94">
        <v>40833</v>
      </c>
      <c r="J32" s="95">
        <v>40833</v>
      </c>
      <c r="K32" s="94">
        <v>40833</v>
      </c>
      <c r="L32" s="95">
        <v>40833</v>
      </c>
      <c r="M32" s="94">
        <v>40833</v>
      </c>
      <c r="N32" s="95">
        <v>40833</v>
      </c>
      <c r="O32" s="94">
        <v>40833</v>
      </c>
      <c r="P32" s="94">
        <v>40837</v>
      </c>
      <c r="Q32" s="123">
        <f t="shared" si="1"/>
        <v>490000</v>
      </c>
      <c r="R32" s="123"/>
      <c r="S32" s="123"/>
    </row>
    <row r="33" spans="1:19">
      <c r="A33" s="87">
        <v>750</v>
      </c>
      <c r="B33" s="76" t="s">
        <v>87</v>
      </c>
      <c r="C33" s="77"/>
      <c r="D33" s="78">
        <f>SUM(D34:D36)</f>
        <v>447957</v>
      </c>
      <c r="E33" s="78">
        <f t="shared" ref="E33:P33" si="10">SUM(E34:E36)</f>
        <v>23852</v>
      </c>
      <c r="F33" s="79">
        <f t="shared" si="10"/>
        <v>74399</v>
      </c>
      <c r="G33" s="78">
        <f t="shared" si="10"/>
        <v>28343</v>
      </c>
      <c r="H33" s="79">
        <f t="shared" si="10"/>
        <v>74264</v>
      </c>
      <c r="I33" s="78">
        <f t="shared" si="10"/>
        <v>23827</v>
      </c>
      <c r="J33" s="79">
        <f t="shared" si="10"/>
        <v>23827</v>
      </c>
      <c r="K33" s="78">
        <f t="shared" si="10"/>
        <v>52064</v>
      </c>
      <c r="L33" s="79">
        <f t="shared" si="10"/>
        <v>23827</v>
      </c>
      <c r="M33" s="78">
        <f t="shared" si="10"/>
        <v>23827</v>
      </c>
      <c r="N33" s="79">
        <f t="shared" si="10"/>
        <v>52048</v>
      </c>
      <c r="O33" s="78">
        <f t="shared" si="10"/>
        <v>23827</v>
      </c>
      <c r="P33" s="78">
        <f t="shared" si="10"/>
        <v>23852</v>
      </c>
      <c r="Q33" s="123">
        <f t="shared" si="1"/>
        <v>447957</v>
      </c>
      <c r="R33" s="123"/>
      <c r="S33" s="123"/>
    </row>
    <row r="34" spans="1:19">
      <c r="A34" s="69"/>
      <c r="B34" s="80" t="s">
        <v>88</v>
      </c>
      <c r="C34" s="89">
        <v>75011</v>
      </c>
      <c r="D34" s="90">
        <v>118900</v>
      </c>
      <c r="E34" s="91">
        <v>8606</v>
      </c>
      <c r="F34" s="92">
        <v>21520</v>
      </c>
      <c r="G34" s="91">
        <f>11142+180</f>
        <v>11322</v>
      </c>
      <c r="H34" s="92">
        <v>8606</v>
      </c>
      <c r="I34" s="91">
        <v>8606</v>
      </c>
      <c r="J34" s="92">
        <v>8606</v>
      </c>
      <c r="K34" s="91">
        <v>8606</v>
      </c>
      <c r="L34" s="92">
        <v>8606</v>
      </c>
      <c r="M34" s="91">
        <v>8606</v>
      </c>
      <c r="N34" s="92">
        <v>8606</v>
      </c>
      <c r="O34" s="91">
        <v>8606</v>
      </c>
      <c r="P34" s="91">
        <v>8604</v>
      </c>
      <c r="Q34" s="123">
        <f t="shared" si="1"/>
        <v>118900</v>
      </c>
      <c r="R34" s="123"/>
      <c r="S34" s="123"/>
    </row>
    <row r="35" spans="1:19">
      <c r="A35" s="69"/>
      <c r="B35" s="80" t="s">
        <v>89</v>
      </c>
      <c r="C35" s="89">
        <v>75020</v>
      </c>
      <c r="D35" s="90">
        <v>305057</v>
      </c>
      <c r="E35" s="91">
        <v>15246</v>
      </c>
      <c r="F35" s="92">
        <v>52879</v>
      </c>
      <c r="G35" s="91">
        <v>15221</v>
      </c>
      <c r="H35" s="92">
        <v>43458</v>
      </c>
      <c r="I35" s="91">
        <v>15221</v>
      </c>
      <c r="J35" s="92">
        <v>15221</v>
      </c>
      <c r="K35" s="91">
        <v>43458</v>
      </c>
      <c r="L35" s="92">
        <v>15221</v>
      </c>
      <c r="M35" s="91">
        <v>15221</v>
      </c>
      <c r="N35" s="92">
        <v>43442</v>
      </c>
      <c r="O35" s="91">
        <v>15221</v>
      </c>
      <c r="P35" s="91">
        <v>15248</v>
      </c>
      <c r="Q35" s="123">
        <f t="shared" si="1"/>
        <v>305057</v>
      </c>
      <c r="R35" s="123"/>
      <c r="S35" s="123"/>
    </row>
    <row r="36" spans="1:19">
      <c r="A36" s="69"/>
      <c r="B36" s="80" t="s">
        <v>90</v>
      </c>
      <c r="C36" s="89">
        <v>75045</v>
      </c>
      <c r="D36" s="90">
        <f>SUM(D37:D38)</f>
        <v>24000</v>
      </c>
      <c r="E36" s="90">
        <f t="shared" ref="E36:P36" si="11">SUM(E37:E38)</f>
        <v>0</v>
      </c>
      <c r="F36" s="90">
        <f t="shared" si="11"/>
        <v>0</v>
      </c>
      <c r="G36" s="90">
        <f t="shared" si="11"/>
        <v>1800</v>
      </c>
      <c r="H36" s="90">
        <f t="shared" si="11"/>
        <v>22200</v>
      </c>
      <c r="I36" s="90">
        <f t="shared" si="11"/>
        <v>0</v>
      </c>
      <c r="J36" s="90">
        <f t="shared" si="11"/>
        <v>0</v>
      </c>
      <c r="K36" s="90">
        <f t="shared" si="11"/>
        <v>0</v>
      </c>
      <c r="L36" s="90">
        <f t="shared" si="11"/>
        <v>0</v>
      </c>
      <c r="M36" s="90">
        <f t="shared" si="11"/>
        <v>0</v>
      </c>
      <c r="N36" s="90">
        <f t="shared" si="11"/>
        <v>0</v>
      </c>
      <c r="O36" s="90">
        <f t="shared" si="11"/>
        <v>0</v>
      </c>
      <c r="P36" s="90">
        <f t="shared" si="11"/>
        <v>0</v>
      </c>
      <c r="Q36" s="123">
        <f t="shared" si="1"/>
        <v>24000</v>
      </c>
      <c r="R36" s="123"/>
      <c r="S36" s="123"/>
    </row>
    <row r="37" spans="1:19">
      <c r="A37" s="69"/>
      <c r="B37" s="80" t="s">
        <v>83</v>
      </c>
      <c r="C37" s="89"/>
      <c r="D37" s="90">
        <v>11000</v>
      </c>
      <c r="E37" s="91"/>
      <c r="F37" s="83"/>
      <c r="G37" s="91">
        <v>1800</v>
      </c>
      <c r="H37" s="92">
        <v>9200</v>
      </c>
      <c r="I37" s="91"/>
      <c r="J37" s="92"/>
      <c r="K37" s="91"/>
      <c r="L37" s="92"/>
      <c r="M37" s="91"/>
      <c r="N37" s="92"/>
      <c r="O37" s="91"/>
      <c r="P37" s="91"/>
      <c r="Q37" s="123">
        <f t="shared" si="1"/>
        <v>11000</v>
      </c>
      <c r="R37" s="123"/>
      <c r="S37" s="123"/>
    </row>
    <row r="38" spans="1:19">
      <c r="A38" s="69"/>
      <c r="B38" s="80" t="s">
        <v>91</v>
      </c>
      <c r="C38" s="89"/>
      <c r="D38" s="90">
        <v>13000</v>
      </c>
      <c r="E38" s="91"/>
      <c r="F38" s="83"/>
      <c r="G38" s="91"/>
      <c r="H38" s="92">
        <v>13000</v>
      </c>
      <c r="I38" s="91"/>
      <c r="J38" s="92"/>
      <c r="K38" s="91"/>
      <c r="L38" s="92"/>
      <c r="M38" s="91"/>
      <c r="N38" s="92"/>
      <c r="O38" s="91"/>
      <c r="P38" s="91"/>
      <c r="Q38" s="123">
        <f t="shared" si="1"/>
        <v>13000</v>
      </c>
      <c r="R38" s="123"/>
      <c r="S38" s="123"/>
    </row>
    <row r="39" spans="1:19" s="4" customFormat="1">
      <c r="A39" s="269">
        <v>752</v>
      </c>
      <c r="B39" s="97" t="s">
        <v>227</v>
      </c>
      <c r="C39" s="98"/>
      <c r="D39" s="99">
        <f>SUM(D40)</f>
        <v>4000</v>
      </c>
      <c r="E39" s="99">
        <f t="shared" ref="E39:P39" si="12">SUM(E40)</f>
        <v>0</v>
      </c>
      <c r="F39" s="99">
        <f t="shared" si="12"/>
        <v>0</v>
      </c>
      <c r="G39" s="99">
        <f t="shared" si="12"/>
        <v>0</v>
      </c>
      <c r="H39" s="99">
        <f t="shared" si="12"/>
        <v>0</v>
      </c>
      <c r="I39" s="99">
        <f t="shared" si="12"/>
        <v>0</v>
      </c>
      <c r="J39" s="99">
        <f t="shared" si="12"/>
        <v>4000</v>
      </c>
      <c r="K39" s="99">
        <f t="shared" si="12"/>
        <v>0</v>
      </c>
      <c r="L39" s="99">
        <f t="shared" si="12"/>
        <v>0</v>
      </c>
      <c r="M39" s="99">
        <f t="shared" si="12"/>
        <v>0</v>
      </c>
      <c r="N39" s="99">
        <f t="shared" si="12"/>
        <v>0</v>
      </c>
      <c r="O39" s="99">
        <f t="shared" si="12"/>
        <v>0</v>
      </c>
      <c r="P39" s="99">
        <f t="shared" si="12"/>
        <v>0</v>
      </c>
      <c r="Q39" s="123"/>
      <c r="R39" s="123"/>
      <c r="S39" s="123"/>
    </row>
    <row r="40" spans="1:19" s="4" customFormat="1">
      <c r="A40" s="69"/>
      <c r="B40" s="80" t="s">
        <v>228</v>
      </c>
      <c r="C40" s="89">
        <v>75212</v>
      </c>
      <c r="D40" s="90">
        <v>4000</v>
      </c>
      <c r="E40" s="91"/>
      <c r="F40" s="83"/>
      <c r="G40" s="91"/>
      <c r="H40" s="92"/>
      <c r="I40" s="91"/>
      <c r="J40" s="92">
        <v>4000</v>
      </c>
      <c r="K40" s="91"/>
      <c r="L40" s="92"/>
      <c r="M40" s="91"/>
      <c r="N40" s="92"/>
      <c r="O40" s="91"/>
      <c r="P40" s="91"/>
      <c r="Q40" s="123"/>
      <c r="R40" s="123"/>
      <c r="S40" s="123"/>
    </row>
    <row r="41" spans="1:19">
      <c r="A41" s="87">
        <v>754</v>
      </c>
      <c r="B41" s="76" t="s">
        <v>92</v>
      </c>
      <c r="C41" s="77"/>
      <c r="D41" s="78">
        <f t="shared" ref="D41:P41" si="13">SUM(D42:D43)</f>
        <v>5343240</v>
      </c>
      <c r="E41" s="78">
        <f t="shared" si="13"/>
        <v>657314</v>
      </c>
      <c r="F41" s="78">
        <f t="shared" si="13"/>
        <v>660000</v>
      </c>
      <c r="G41" s="78">
        <f t="shared" si="13"/>
        <v>430000</v>
      </c>
      <c r="H41" s="78">
        <f t="shared" si="13"/>
        <v>370000</v>
      </c>
      <c r="I41" s="78">
        <f t="shared" si="13"/>
        <v>530000</v>
      </c>
      <c r="J41" s="78">
        <f t="shared" si="13"/>
        <v>397000</v>
      </c>
      <c r="K41" s="78">
        <f t="shared" si="13"/>
        <v>360000</v>
      </c>
      <c r="L41" s="78">
        <f t="shared" si="13"/>
        <v>370000</v>
      </c>
      <c r="M41" s="78">
        <f t="shared" si="13"/>
        <v>385000</v>
      </c>
      <c r="N41" s="78">
        <f t="shared" si="13"/>
        <v>370000</v>
      </c>
      <c r="O41" s="78">
        <f t="shared" si="13"/>
        <v>390000</v>
      </c>
      <c r="P41" s="78">
        <f t="shared" si="13"/>
        <v>423926</v>
      </c>
      <c r="Q41" s="123">
        <f t="shared" si="1"/>
        <v>5343240</v>
      </c>
      <c r="R41" s="123"/>
      <c r="S41" s="123"/>
    </row>
    <row r="42" spans="1:19">
      <c r="A42" s="69"/>
      <c r="B42" s="80" t="s">
        <v>93</v>
      </c>
      <c r="C42" s="89">
        <v>75411</v>
      </c>
      <c r="D42" s="90">
        <v>5331240</v>
      </c>
      <c r="E42" s="91">
        <v>657314</v>
      </c>
      <c r="F42" s="92">
        <v>660000</v>
      </c>
      <c r="G42" s="91">
        <v>430000</v>
      </c>
      <c r="H42" s="92">
        <v>370000</v>
      </c>
      <c r="I42" s="91">
        <v>530000</v>
      </c>
      <c r="J42" s="92">
        <v>385000</v>
      </c>
      <c r="K42" s="91">
        <v>360000</v>
      </c>
      <c r="L42" s="92">
        <v>370000</v>
      </c>
      <c r="M42" s="91">
        <v>385000</v>
      </c>
      <c r="N42" s="92">
        <v>370000</v>
      </c>
      <c r="O42" s="91">
        <v>390000</v>
      </c>
      <c r="P42" s="91">
        <v>423926</v>
      </c>
      <c r="Q42" s="123">
        <f t="shared" si="1"/>
        <v>5331240</v>
      </c>
      <c r="R42" s="123"/>
      <c r="S42" s="123"/>
    </row>
    <row r="43" spans="1:19" s="4" customFormat="1">
      <c r="A43" s="69"/>
      <c r="B43" s="80" t="s">
        <v>229</v>
      </c>
      <c r="C43" s="89">
        <v>75414</v>
      </c>
      <c r="D43" s="90">
        <v>12000</v>
      </c>
      <c r="E43" s="91"/>
      <c r="F43" s="92"/>
      <c r="G43" s="91"/>
      <c r="H43" s="92"/>
      <c r="I43" s="91"/>
      <c r="J43" s="92">
        <v>12000</v>
      </c>
      <c r="K43" s="91"/>
      <c r="L43" s="92"/>
      <c r="M43" s="91"/>
      <c r="N43" s="92"/>
      <c r="O43" s="91"/>
      <c r="P43" s="91"/>
      <c r="Q43" s="123"/>
      <c r="R43" s="123"/>
      <c r="S43" s="123"/>
    </row>
    <row r="44" spans="1:19">
      <c r="A44" s="87">
        <v>755</v>
      </c>
      <c r="B44" s="97" t="s">
        <v>94</v>
      </c>
      <c r="C44" s="98"/>
      <c r="D44" s="99">
        <f>SUM(D45)</f>
        <v>187812</v>
      </c>
      <c r="E44" s="99">
        <f t="shared" ref="E44:P44" si="14">SUM(E45)</f>
        <v>15651</v>
      </c>
      <c r="F44" s="99">
        <f t="shared" si="14"/>
        <v>15651</v>
      </c>
      <c r="G44" s="99">
        <f t="shared" si="14"/>
        <v>15651</v>
      </c>
      <c r="H44" s="99">
        <f t="shared" si="14"/>
        <v>15651</v>
      </c>
      <c r="I44" s="99">
        <f t="shared" si="14"/>
        <v>15651</v>
      </c>
      <c r="J44" s="99">
        <f t="shared" si="14"/>
        <v>15651</v>
      </c>
      <c r="K44" s="99">
        <f t="shared" si="14"/>
        <v>15651</v>
      </c>
      <c r="L44" s="99">
        <f t="shared" si="14"/>
        <v>15651</v>
      </c>
      <c r="M44" s="99">
        <f t="shared" si="14"/>
        <v>15651</v>
      </c>
      <c r="N44" s="99">
        <f t="shared" si="14"/>
        <v>15651</v>
      </c>
      <c r="O44" s="99">
        <f t="shared" si="14"/>
        <v>15651</v>
      </c>
      <c r="P44" s="99">
        <f t="shared" si="14"/>
        <v>15651</v>
      </c>
      <c r="Q44" s="123">
        <f t="shared" si="1"/>
        <v>187812</v>
      </c>
      <c r="R44" s="123"/>
      <c r="S44" s="123"/>
    </row>
    <row r="45" spans="1:19">
      <c r="A45" s="69"/>
      <c r="B45" s="80" t="s">
        <v>95</v>
      </c>
      <c r="C45" s="89">
        <v>75515</v>
      </c>
      <c r="D45" s="90">
        <v>187812</v>
      </c>
      <c r="E45" s="91">
        <v>15651</v>
      </c>
      <c r="F45" s="92">
        <v>15651</v>
      </c>
      <c r="G45" s="91">
        <v>15651</v>
      </c>
      <c r="H45" s="92">
        <v>15651</v>
      </c>
      <c r="I45" s="91">
        <v>15651</v>
      </c>
      <c r="J45" s="92">
        <v>15651</v>
      </c>
      <c r="K45" s="91">
        <v>15651</v>
      </c>
      <c r="L45" s="92">
        <v>15651</v>
      </c>
      <c r="M45" s="91">
        <v>15651</v>
      </c>
      <c r="N45" s="92">
        <v>15651</v>
      </c>
      <c r="O45" s="91">
        <v>15651</v>
      </c>
      <c r="P45" s="91">
        <v>15651</v>
      </c>
      <c r="Q45" s="123">
        <f t="shared" si="1"/>
        <v>187812</v>
      </c>
      <c r="R45" s="123"/>
      <c r="S45" s="123"/>
    </row>
    <row r="46" spans="1:19">
      <c r="A46" s="87">
        <v>756</v>
      </c>
      <c r="B46" s="76" t="s">
        <v>96</v>
      </c>
      <c r="C46" s="77"/>
      <c r="D46" s="85">
        <f>SUM(D47+D50+D51)</f>
        <v>14747213</v>
      </c>
      <c r="E46" s="85">
        <f t="shared" ref="E46:Q46" si="15">SUM(E47+E50+E51)</f>
        <v>1668228</v>
      </c>
      <c r="F46" s="85">
        <f t="shared" si="15"/>
        <v>956497</v>
      </c>
      <c r="G46" s="85">
        <f t="shared" si="15"/>
        <v>830713</v>
      </c>
      <c r="H46" s="85">
        <f t="shared" si="15"/>
        <v>1242330</v>
      </c>
      <c r="I46" s="85">
        <f t="shared" si="15"/>
        <v>1125900</v>
      </c>
      <c r="J46" s="85">
        <f t="shared" si="15"/>
        <v>981606</v>
      </c>
      <c r="K46" s="85">
        <f t="shared" si="15"/>
        <v>1130291</v>
      </c>
      <c r="L46" s="85">
        <f t="shared" si="15"/>
        <v>1271611</v>
      </c>
      <c r="M46" s="85">
        <f t="shared" si="15"/>
        <v>1290457</v>
      </c>
      <c r="N46" s="85">
        <f t="shared" si="15"/>
        <v>1409371</v>
      </c>
      <c r="O46" s="85">
        <f t="shared" si="15"/>
        <v>1407775</v>
      </c>
      <c r="P46" s="85">
        <f t="shared" si="15"/>
        <v>1432434</v>
      </c>
      <c r="Q46" s="85">
        <f t="shared" si="15"/>
        <v>14747213</v>
      </c>
      <c r="R46" s="123"/>
      <c r="S46" s="123"/>
    </row>
    <row r="47" spans="1:19">
      <c r="A47" s="69"/>
      <c r="B47" s="80" t="s">
        <v>97</v>
      </c>
      <c r="C47" s="89">
        <v>75618</v>
      </c>
      <c r="D47" s="90">
        <f>SUM(D48:D49)</f>
        <v>361000</v>
      </c>
      <c r="E47" s="90">
        <f t="shared" ref="E47:P47" si="16">SUM(E48:E49)</f>
        <v>277822</v>
      </c>
      <c r="F47" s="90">
        <f t="shared" si="16"/>
        <v>7530</v>
      </c>
      <c r="G47" s="90">
        <f t="shared" si="16"/>
        <v>6049</v>
      </c>
      <c r="H47" s="90">
        <f t="shared" si="16"/>
        <v>6868</v>
      </c>
      <c r="I47" s="90">
        <f t="shared" si="16"/>
        <v>9953</v>
      </c>
      <c r="J47" s="90">
        <f t="shared" si="16"/>
        <v>8373</v>
      </c>
      <c r="K47" s="90">
        <f t="shared" si="16"/>
        <v>8000</v>
      </c>
      <c r="L47" s="90">
        <f t="shared" si="16"/>
        <v>8000</v>
      </c>
      <c r="M47" s="90">
        <f t="shared" si="16"/>
        <v>8000</v>
      </c>
      <c r="N47" s="90">
        <f t="shared" si="16"/>
        <v>8075</v>
      </c>
      <c r="O47" s="90">
        <f t="shared" si="16"/>
        <v>6040</v>
      </c>
      <c r="P47" s="90">
        <f t="shared" si="16"/>
        <v>6290</v>
      </c>
      <c r="Q47" s="123">
        <f t="shared" si="1"/>
        <v>361000</v>
      </c>
      <c r="R47" s="123"/>
      <c r="S47" s="123"/>
    </row>
    <row r="48" spans="1:19" s="4" customFormat="1">
      <c r="A48" s="69"/>
      <c r="B48" s="80" t="s">
        <v>151</v>
      </c>
      <c r="C48" s="89"/>
      <c r="D48" s="90">
        <v>100000</v>
      </c>
      <c r="E48" s="91">
        <v>22000</v>
      </c>
      <c r="F48" s="92">
        <v>6000</v>
      </c>
      <c r="G48" s="91">
        <v>6000</v>
      </c>
      <c r="H48" s="92">
        <v>6000</v>
      </c>
      <c r="I48" s="91">
        <v>8000</v>
      </c>
      <c r="J48" s="92">
        <v>8000</v>
      </c>
      <c r="K48" s="91">
        <v>8000</v>
      </c>
      <c r="L48" s="92">
        <v>8000</v>
      </c>
      <c r="M48" s="91">
        <v>8000</v>
      </c>
      <c r="N48" s="92">
        <v>8000</v>
      </c>
      <c r="O48" s="91">
        <v>6000</v>
      </c>
      <c r="P48" s="91">
        <v>6000</v>
      </c>
      <c r="Q48" s="123"/>
      <c r="R48" s="123"/>
      <c r="S48" s="123"/>
    </row>
    <row r="49" spans="1:19" s="4" customFormat="1">
      <c r="A49" s="69"/>
      <c r="B49" s="80" t="s">
        <v>254</v>
      </c>
      <c r="C49" s="89"/>
      <c r="D49" s="90">
        <v>261000</v>
      </c>
      <c r="E49" s="91">
        <v>255822</v>
      </c>
      <c r="F49" s="92">
        <v>1530</v>
      </c>
      <c r="G49" s="91">
        <v>49</v>
      </c>
      <c r="H49" s="92">
        <v>868</v>
      </c>
      <c r="I49" s="91">
        <v>1953</v>
      </c>
      <c r="J49" s="92">
        <v>373</v>
      </c>
      <c r="K49" s="91"/>
      <c r="L49" s="92"/>
      <c r="M49" s="91"/>
      <c r="N49" s="92">
        <v>75</v>
      </c>
      <c r="O49" s="91">
        <v>40</v>
      </c>
      <c r="P49" s="91">
        <v>290</v>
      </c>
      <c r="Q49" s="123"/>
      <c r="R49" s="123"/>
      <c r="S49" s="123"/>
    </row>
    <row r="50" spans="1:19">
      <c r="A50" s="69"/>
      <c r="B50" s="80" t="s">
        <v>98</v>
      </c>
      <c r="C50" s="89">
        <v>75622</v>
      </c>
      <c r="D50" s="90">
        <v>13940726</v>
      </c>
      <c r="E50" s="91">
        <f>1291718+61344</f>
        <v>1353062</v>
      </c>
      <c r="F50" s="92">
        <f>847462+61344</f>
        <v>908806</v>
      </c>
      <c r="G50" s="91">
        <f>689411+61344</f>
        <v>750755</v>
      </c>
      <c r="H50" s="92">
        <f>1140491+61344</f>
        <v>1201835</v>
      </c>
      <c r="I50" s="91">
        <f>1023867+61344</f>
        <v>1085211</v>
      </c>
      <c r="J50" s="92">
        <f>899294+61344</f>
        <v>960638</v>
      </c>
      <c r="K50" s="91">
        <f>1035978+61344</f>
        <v>1097322</v>
      </c>
      <c r="L50" s="92">
        <f>1158665+61344</f>
        <v>1220009</v>
      </c>
      <c r="M50" s="91">
        <f>1168552+61344</f>
        <v>1229896</v>
      </c>
      <c r="N50" s="92">
        <f>1286996+61344</f>
        <v>1348340</v>
      </c>
      <c r="O50" s="91">
        <f>1309960+61344</f>
        <v>1371304</v>
      </c>
      <c r="P50" s="91">
        <f>1352197+61351</f>
        <v>1413548</v>
      </c>
      <c r="Q50" s="123">
        <f t="shared" si="1"/>
        <v>13940726</v>
      </c>
      <c r="R50" s="123"/>
      <c r="S50" s="123"/>
    </row>
    <row r="51" spans="1:19">
      <c r="A51" s="69"/>
      <c r="B51" s="80" t="s">
        <v>99</v>
      </c>
      <c r="C51" s="89">
        <v>75622</v>
      </c>
      <c r="D51" s="90">
        <v>445487</v>
      </c>
      <c r="E51" s="91">
        <f>24749+12595</f>
        <v>37344</v>
      </c>
      <c r="F51" s="92">
        <f>27566+12595</f>
        <v>40161</v>
      </c>
      <c r="G51" s="91">
        <f>61314+12595</f>
        <v>73909</v>
      </c>
      <c r="H51" s="92">
        <f>21032+12595</f>
        <v>33627</v>
      </c>
      <c r="I51" s="91">
        <f>18141+12595</f>
        <v>30736</v>
      </c>
      <c r="J51" s="92">
        <v>12595</v>
      </c>
      <c r="K51" s="91">
        <f>12374+12595</f>
        <v>24969</v>
      </c>
      <c r="L51" s="92">
        <f>31007+12595</f>
        <v>43602</v>
      </c>
      <c r="M51" s="91">
        <f>39966+12595</f>
        <v>52561</v>
      </c>
      <c r="N51" s="92">
        <f>40361+12595</f>
        <v>52956</v>
      </c>
      <c r="O51" s="91">
        <f>17836+12595</f>
        <v>30431</v>
      </c>
      <c r="P51" s="91">
        <v>12596</v>
      </c>
      <c r="Q51" s="123">
        <f t="shared" si="1"/>
        <v>445487</v>
      </c>
      <c r="R51" s="123"/>
      <c r="S51" s="123"/>
    </row>
    <row r="52" spans="1:19">
      <c r="A52" s="87">
        <v>758</v>
      </c>
      <c r="B52" s="76" t="s">
        <v>100</v>
      </c>
      <c r="C52" s="77"/>
      <c r="D52" s="78">
        <f>SUM(D53:D56)</f>
        <v>34354711</v>
      </c>
      <c r="E52" s="78">
        <f t="shared" ref="E52:P52" si="17">SUM(E53:E56)</f>
        <v>5142772</v>
      </c>
      <c r="F52" s="79">
        <f t="shared" si="17"/>
        <v>5038560</v>
      </c>
      <c r="G52" s="78">
        <f t="shared" si="17"/>
        <v>2645634</v>
      </c>
      <c r="H52" s="79">
        <f t="shared" si="17"/>
        <v>2645634</v>
      </c>
      <c r="I52" s="78">
        <f t="shared" si="17"/>
        <v>2645634</v>
      </c>
      <c r="J52" s="79">
        <f t="shared" si="17"/>
        <v>2645634</v>
      </c>
      <c r="K52" s="78">
        <f t="shared" si="17"/>
        <v>2645634</v>
      </c>
      <c r="L52" s="79">
        <f t="shared" si="17"/>
        <v>2645634</v>
      </c>
      <c r="M52" s="78">
        <f t="shared" si="17"/>
        <v>2645634</v>
      </c>
      <c r="N52" s="79">
        <f t="shared" si="17"/>
        <v>2645634</v>
      </c>
      <c r="O52" s="78">
        <f t="shared" si="17"/>
        <v>2695638</v>
      </c>
      <c r="P52" s="78">
        <f t="shared" si="17"/>
        <v>312669</v>
      </c>
      <c r="Q52" s="123">
        <f t="shared" si="1"/>
        <v>34354711</v>
      </c>
      <c r="R52" s="123"/>
      <c r="S52" s="123"/>
    </row>
    <row r="53" spans="1:19">
      <c r="A53" s="69"/>
      <c r="B53" s="80" t="s">
        <v>101</v>
      </c>
      <c r="C53" s="89">
        <v>75801</v>
      </c>
      <c r="D53" s="90">
        <v>30602815</v>
      </c>
      <c r="E53" s="100">
        <f>4942170-112055</f>
        <v>4830115</v>
      </c>
      <c r="F53" s="101">
        <f>4837958-112055</f>
        <v>4725903</v>
      </c>
      <c r="G53" s="100">
        <f t="shared" ref="G53:N53" si="18">2445032-112055</f>
        <v>2332977</v>
      </c>
      <c r="H53" s="101">
        <f t="shared" si="18"/>
        <v>2332977</v>
      </c>
      <c r="I53" s="100">
        <f t="shared" si="18"/>
        <v>2332977</v>
      </c>
      <c r="J53" s="101">
        <f t="shared" si="18"/>
        <v>2332977</v>
      </c>
      <c r="K53" s="100">
        <f t="shared" si="18"/>
        <v>2332977</v>
      </c>
      <c r="L53" s="101">
        <f t="shared" si="18"/>
        <v>2332977</v>
      </c>
      <c r="M53" s="100">
        <f t="shared" si="18"/>
        <v>2332977</v>
      </c>
      <c r="N53" s="101">
        <f t="shared" si="18"/>
        <v>2332977</v>
      </c>
      <c r="O53" s="100">
        <f>2495038-112057</f>
        <v>2382981</v>
      </c>
      <c r="P53" s="100"/>
      <c r="Q53" s="123">
        <f t="shared" si="1"/>
        <v>30602815</v>
      </c>
      <c r="R53" s="123"/>
      <c r="S53" s="123"/>
    </row>
    <row r="54" spans="1:19">
      <c r="A54" s="69"/>
      <c r="B54" s="80" t="s">
        <v>102</v>
      </c>
      <c r="C54" s="89">
        <v>75803</v>
      </c>
      <c r="D54" s="90">
        <v>3322333</v>
      </c>
      <c r="E54" s="100">
        <v>276861</v>
      </c>
      <c r="F54" s="101">
        <v>276861</v>
      </c>
      <c r="G54" s="100">
        <v>276861</v>
      </c>
      <c r="H54" s="101">
        <v>276861</v>
      </c>
      <c r="I54" s="100">
        <v>276861</v>
      </c>
      <c r="J54" s="101">
        <v>276861</v>
      </c>
      <c r="K54" s="100">
        <v>276861</v>
      </c>
      <c r="L54" s="101">
        <v>276861</v>
      </c>
      <c r="M54" s="100">
        <v>276861</v>
      </c>
      <c r="N54" s="101">
        <v>276861</v>
      </c>
      <c r="O54" s="100">
        <v>276861</v>
      </c>
      <c r="P54" s="100">
        <v>276862</v>
      </c>
      <c r="Q54" s="123">
        <f t="shared" si="1"/>
        <v>3322333</v>
      </c>
      <c r="R54" s="123"/>
      <c r="S54" s="123"/>
    </row>
    <row r="55" spans="1:19">
      <c r="A55" s="69"/>
      <c r="B55" s="80" t="s">
        <v>103</v>
      </c>
      <c r="C55" s="89">
        <v>75814</v>
      </c>
      <c r="D55" s="90">
        <v>110963</v>
      </c>
      <c r="E55" s="91">
        <v>9246</v>
      </c>
      <c r="F55" s="92">
        <v>9246</v>
      </c>
      <c r="G55" s="91">
        <v>9246</v>
      </c>
      <c r="H55" s="92">
        <v>9246</v>
      </c>
      <c r="I55" s="91">
        <v>9246</v>
      </c>
      <c r="J55" s="92">
        <v>9246</v>
      </c>
      <c r="K55" s="91">
        <v>9246</v>
      </c>
      <c r="L55" s="92">
        <v>9246</v>
      </c>
      <c r="M55" s="91">
        <v>9246</v>
      </c>
      <c r="N55" s="92">
        <v>9246</v>
      </c>
      <c r="O55" s="91">
        <v>9246</v>
      </c>
      <c r="P55" s="91">
        <v>9257</v>
      </c>
      <c r="Q55" s="123">
        <f t="shared" si="1"/>
        <v>110963</v>
      </c>
      <c r="R55" s="123"/>
      <c r="S55" s="123"/>
    </row>
    <row r="56" spans="1:19">
      <c r="A56" s="69"/>
      <c r="B56" s="80" t="s">
        <v>104</v>
      </c>
      <c r="C56" s="89">
        <v>75832</v>
      </c>
      <c r="D56" s="90">
        <v>318600</v>
      </c>
      <c r="E56" s="100">
        <v>26550</v>
      </c>
      <c r="F56" s="101">
        <v>26550</v>
      </c>
      <c r="G56" s="100">
        <v>26550</v>
      </c>
      <c r="H56" s="101">
        <v>26550</v>
      </c>
      <c r="I56" s="100">
        <v>26550</v>
      </c>
      <c r="J56" s="101">
        <v>26550</v>
      </c>
      <c r="K56" s="100">
        <v>26550</v>
      </c>
      <c r="L56" s="101">
        <v>26550</v>
      </c>
      <c r="M56" s="100">
        <v>26550</v>
      </c>
      <c r="N56" s="101">
        <v>26550</v>
      </c>
      <c r="O56" s="100">
        <v>26550</v>
      </c>
      <c r="P56" s="100">
        <v>26550</v>
      </c>
      <c r="Q56" s="123">
        <f t="shared" si="1"/>
        <v>318600</v>
      </c>
      <c r="R56" s="123"/>
      <c r="S56" s="123"/>
    </row>
    <row r="57" spans="1:19">
      <c r="A57" s="87">
        <v>801</v>
      </c>
      <c r="B57" s="76" t="s">
        <v>105</v>
      </c>
      <c r="C57" s="77"/>
      <c r="D57" s="78">
        <f>SUM(D58+D59+D62+D68+D69+D70+D71)</f>
        <v>704323</v>
      </c>
      <c r="E57" s="78">
        <f t="shared" ref="E57:P57" si="19">SUM(E58+E59+E62+E68+E69+E70+E71)</f>
        <v>213332</v>
      </c>
      <c r="F57" s="78">
        <f t="shared" si="19"/>
        <v>34156</v>
      </c>
      <c r="G57" s="78">
        <f t="shared" si="19"/>
        <v>89766</v>
      </c>
      <c r="H57" s="78">
        <f t="shared" si="19"/>
        <v>52070</v>
      </c>
      <c r="I57" s="78">
        <f t="shared" si="19"/>
        <v>40696</v>
      </c>
      <c r="J57" s="78">
        <f t="shared" si="19"/>
        <v>52196</v>
      </c>
      <c r="K57" s="78">
        <f t="shared" si="19"/>
        <v>34088</v>
      </c>
      <c r="L57" s="78">
        <f t="shared" si="19"/>
        <v>19114</v>
      </c>
      <c r="M57" s="78">
        <f t="shared" si="19"/>
        <v>36057</v>
      </c>
      <c r="N57" s="78">
        <f t="shared" si="19"/>
        <v>47396</v>
      </c>
      <c r="O57" s="78">
        <f t="shared" si="19"/>
        <v>41496</v>
      </c>
      <c r="P57" s="78">
        <f t="shared" si="19"/>
        <v>43956</v>
      </c>
      <c r="Q57" s="123">
        <f t="shared" si="1"/>
        <v>704323</v>
      </c>
      <c r="R57" s="123"/>
      <c r="S57" s="123"/>
    </row>
    <row r="58" spans="1:19">
      <c r="A58" s="88"/>
      <c r="B58" s="80" t="s">
        <v>106</v>
      </c>
      <c r="C58" s="89">
        <v>80102</v>
      </c>
      <c r="D58" s="90">
        <v>148100</v>
      </c>
      <c r="E58" s="91">
        <v>200</v>
      </c>
      <c r="F58" s="92">
        <v>15700</v>
      </c>
      <c r="G58" s="91">
        <v>10800</v>
      </c>
      <c r="H58" s="92">
        <v>15900</v>
      </c>
      <c r="I58" s="91">
        <v>15750</v>
      </c>
      <c r="J58" s="92">
        <v>15750</v>
      </c>
      <c r="K58" s="91">
        <v>15750</v>
      </c>
      <c r="L58" s="92">
        <v>750</v>
      </c>
      <c r="M58" s="91">
        <v>650</v>
      </c>
      <c r="N58" s="92">
        <v>15550</v>
      </c>
      <c r="O58" s="91">
        <v>15650</v>
      </c>
      <c r="P58" s="91">
        <v>25650</v>
      </c>
      <c r="Q58" s="123">
        <f t="shared" si="1"/>
        <v>148100</v>
      </c>
      <c r="R58" s="123"/>
      <c r="S58" s="123"/>
    </row>
    <row r="59" spans="1:19">
      <c r="A59" s="88"/>
      <c r="B59" s="80" t="s">
        <v>107</v>
      </c>
      <c r="C59" s="89">
        <v>80120</v>
      </c>
      <c r="D59" s="90">
        <f t="shared" ref="D59:P59" si="20">SUM(D60:D61)</f>
        <v>67445</v>
      </c>
      <c r="E59" s="90">
        <f t="shared" si="20"/>
        <v>2107</v>
      </c>
      <c r="F59" s="90">
        <f t="shared" si="20"/>
        <v>4207</v>
      </c>
      <c r="G59" s="90">
        <f t="shared" si="20"/>
        <v>8707</v>
      </c>
      <c r="H59" s="90">
        <f t="shared" si="20"/>
        <v>11707</v>
      </c>
      <c r="I59" s="90">
        <f t="shared" si="20"/>
        <v>2207</v>
      </c>
      <c r="J59" s="90">
        <f t="shared" si="20"/>
        <v>11707</v>
      </c>
      <c r="K59" s="90">
        <f t="shared" si="20"/>
        <v>1025</v>
      </c>
      <c r="L59" s="90">
        <f t="shared" si="20"/>
        <v>1025</v>
      </c>
      <c r="M59" s="90">
        <f t="shared" si="20"/>
        <v>8707</v>
      </c>
      <c r="N59" s="90">
        <f t="shared" si="20"/>
        <v>8707</v>
      </c>
      <c r="O59" s="90">
        <f t="shared" si="20"/>
        <v>4707</v>
      </c>
      <c r="P59" s="90">
        <f t="shared" si="20"/>
        <v>2632</v>
      </c>
      <c r="Q59" s="123">
        <f>SUM(E59:P59)</f>
        <v>67445</v>
      </c>
      <c r="R59" s="123"/>
      <c r="S59" s="123"/>
    </row>
    <row r="60" spans="1:19">
      <c r="A60" s="88"/>
      <c r="B60" s="80" t="s">
        <v>108</v>
      </c>
      <c r="C60" s="89"/>
      <c r="D60" s="93">
        <v>48412</v>
      </c>
      <c r="E60" s="82">
        <v>400</v>
      </c>
      <c r="F60" s="83">
        <v>2500</v>
      </c>
      <c r="G60" s="102">
        <v>7000</v>
      </c>
      <c r="H60" s="103">
        <v>10000</v>
      </c>
      <c r="I60" s="102">
        <v>500</v>
      </c>
      <c r="J60" s="103">
        <v>10000</v>
      </c>
      <c r="K60" s="102">
        <v>40</v>
      </c>
      <c r="L60" s="103">
        <v>40</v>
      </c>
      <c r="M60" s="102">
        <v>7000</v>
      </c>
      <c r="N60" s="103">
        <v>7000</v>
      </c>
      <c r="O60" s="102">
        <v>3000</v>
      </c>
      <c r="P60" s="102">
        <v>932</v>
      </c>
      <c r="Q60" s="123">
        <f t="shared" si="1"/>
        <v>48412</v>
      </c>
      <c r="R60" s="123"/>
      <c r="S60" s="123"/>
    </row>
    <row r="61" spans="1:19">
      <c r="A61" s="88"/>
      <c r="B61" s="80" t="s">
        <v>109</v>
      </c>
      <c r="C61" s="89"/>
      <c r="D61" s="96">
        <v>19033</v>
      </c>
      <c r="E61" s="82">
        <v>1707</v>
      </c>
      <c r="F61" s="83">
        <v>1707</v>
      </c>
      <c r="G61" s="102">
        <v>1707</v>
      </c>
      <c r="H61" s="103">
        <v>1707</v>
      </c>
      <c r="I61" s="102">
        <v>1707</v>
      </c>
      <c r="J61" s="103">
        <v>1707</v>
      </c>
      <c r="K61" s="102">
        <v>985</v>
      </c>
      <c r="L61" s="103">
        <v>985</v>
      </c>
      <c r="M61" s="102">
        <v>1707</v>
      </c>
      <c r="N61" s="103">
        <v>1707</v>
      </c>
      <c r="O61" s="102">
        <v>1707</v>
      </c>
      <c r="P61" s="102">
        <v>1700</v>
      </c>
      <c r="Q61" s="123">
        <f t="shared" si="1"/>
        <v>19033</v>
      </c>
      <c r="R61" s="123"/>
      <c r="S61" s="123"/>
    </row>
    <row r="62" spans="1:19">
      <c r="A62" s="88"/>
      <c r="B62" s="80" t="s">
        <v>110</v>
      </c>
      <c r="C62" s="89">
        <v>80130</v>
      </c>
      <c r="D62" s="90">
        <f t="shared" ref="D62:P62" si="21">SUM(D63:D67)</f>
        <v>149789</v>
      </c>
      <c r="E62" s="91">
        <f t="shared" si="21"/>
        <v>10845</v>
      </c>
      <c r="F62" s="91">
        <f t="shared" si="21"/>
        <v>11249</v>
      </c>
      <c r="G62" s="91">
        <f t="shared" si="21"/>
        <v>11439</v>
      </c>
      <c r="H62" s="91">
        <f t="shared" si="21"/>
        <v>11963</v>
      </c>
      <c r="I62" s="91">
        <f t="shared" si="21"/>
        <v>13239</v>
      </c>
      <c r="J62" s="91">
        <f t="shared" si="21"/>
        <v>13239</v>
      </c>
      <c r="K62" s="91">
        <f t="shared" si="21"/>
        <v>12813</v>
      </c>
      <c r="L62" s="91">
        <f t="shared" si="21"/>
        <v>12839</v>
      </c>
      <c r="M62" s="91">
        <f t="shared" si="21"/>
        <v>17200</v>
      </c>
      <c r="N62" s="91">
        <f t="shared" si="21"/>
        <v>11639</v>
      </c>
      <c r="O62" s="91">
        <f t="shared" si="21"/>
        <v>11639</v>
      </c>
      <c r="P62" s="91">
        <f t="shared" si="21"/>
        <v>11685</v>
      </c>
      <c r="Q62" s="123">
        <f t="shared" si="1"/>
        <v>149789</v>
      </c>
      <c r="R62" s="123"/>
      <c r="S62" s="123"/>
    </row>
    <row r="63" spans="1:19">
      <c r="A63" s="88"/>
      <c r="B63" s="80" t="s">
        <v>111</v>
      </c>
      <c r="C63" s="89"/>
      <c r="D63" s="90">
        <v>60744</v>
      </c>
      <c r="E63" s="82">
        <v>5000</v>
      </c>
      <c r="F63" s="83">
        <v>5000</v>
      </c>
      <c r="G63" s="82">
        <v>5200</v>
      </c>
      <c r="H63" s="83">
        <v>5200</v>
      </c>
      <c r="I63" s="82">
        <v>5200</v>
      </c>
      <c r="J63" s="83">
        <v>5200</v>
      </c>
      <c r="K63" s="82">
        <v>4800</v>
      </c>
      <c r="L63" s="83">
        <v>4800</v>
      </c>
      <c r="M63" s="82">
        <v>5000</v>
      </c>
      <c r="N63" s="83">
        <v>5100</v>
      </c>
      <c r="O63" s="82">
        <v>5100</v>
      </c>
      <c r="P63" s="82">
        <v>5144</v>
      </c>
      <c r="Q63" s="180">
        <f t="shared" si="1"/>
        <v>60744</v>
      </c>
      <c r="R63" s="123"/>
      <c r="S63" s="123"/>
    </row>
    <row r="64" spans="1:19" s="183" customFormat="1">
      <c r="A64" s="88"/>
      <c r="B64" s="80" t="s">
        <v>112</v>
      </c>
      <c r="C64" s="89"/>
      <c r="D64" s="81">
        <v>23594</v>
      </c>
      <c r="E64" s="90">
        <v>1550</v>
      </c>
      <c r="F64" s="186">
        <v>1560</v>
      </c>
      <c r="G64" s="90">
        <v>1550</v>
      </c>
      <c r="H64" s="186">
        <v>1560</v>
      </c>
      <c r="I64" s="90">
        <v>1550</v>
      </c>
      <c r="J64" s="186">
        <v>1550</v>
      </c>
      <c r="K64" s="90">
        <v>1524</v>
      </c>
      <c r="L64" s="186">
        <v>1550</v>
      </c>
      <c r="M64" s="90">
        <v>6550</v>
      </c>
      <c r="N64" s="186">
        <v>1550</v>
      </c>
      <c r="O64" s="90">
        <v>1550</v>
      </c>
      <c r="P64" s="90">
        <v>1550</v>
      </c>
      <c r="Q64" s="182">
        <f t="shared" si="1"/>
        <v>23594</v>
      </c>
      <c r="R64" s="123"/>
      <c r="S64" s="123"/>
    </row>
    <row r="65" spans="1:19">
      <c r="A65" s="88"/>
      <c r="B65" s="80" t="s">
        <v>113</v>
      </c>
      <c r="C65" s="89"/>
      <c r="D65" s="81">
        <v>53520</v>
      </c>
      <c r="E65" s="82">
        <v>4246</v>
      </c>
      <c r="F65" s="83">
        <v>4460</v>
      </c>
      <c r="G65" s="82">
        <v>4460</v>
      </c>
      <c r="H65" s="83">
        <v>4674</v>
      </c>
      <c r="I65" s="82">
        <v>4460</v>
      </c>
      <c r="J65" s="83">
        <v>4460</v>
      </c>
      <c r="K65" s="82">
        <v>4460</v>
      </c>
      <c r="L65" s="83">
        <v>4460</v>
      </c>
      <c r="M65" s="82">
        <v>4460</v>
      </c>
      <c r="N65" s="83">
        <v>4460</v>
      </c>
      <c r="O65" s="82">
        <v>4460</v>
      </c>
      <c r="P65" s="82">
        <v>4460</v>
      </c>
      <c r="Q65" s="123">
        <f t="shared" si="1"/>
        <v>53520</v>
      </c>
      <c r="R65" s="123"/>
      <c r="S65" s="123"/>
    </row>
    <row r="66" spans="1:19">
      <c r="A66" s="88"/>
      <c r="B66" s="80" t="s">
        <v>114</v>
      </c>
      <c r="C66" s="89"/>
      <c r="D66" s="90">
        <v>11581</v>
      </c>
      <c r="E66" s="82">
        <v>20</v>
      </c>
      <c r="F66" s="83">
        <v>200</v>
      </c>
      <c r="G66" s="82">
        <v>200</v>
      </c>
      <c r="H66" s="83">
        <v>500</v>
      </c>
      <c r="I66" s="82">
        <v>2000</v>
      </c>
      <c r="J66" s="83">
        <v>2000</v>
      </c>
      <c r="K66" s="82">
        <v>2000</v>
      </c>
      <c r="L66" s="83">
        <v>2000</v>
      </c>
      <c r="M66" s="82">
        <v>1161</v>
      </c>
      <c r="N66" s="83">
        <v>500</v>
      </c>
      <c r="O66" s="82">
        <v>500</v>
      </c>
      <c r="P66" s="82">
        <v>500</v>
      </c>
      <c r="Q66" s="123">
        <f t="shared" si="1"/>
        <v>11581</v>
      </c>
      <c r="R66" s="123"/>
      <c r="S66" s="123"/>
    </row>
    <row r="67" spans="1:19">
      <c r="A67" s="88"/>
      <c r="B67" s="80" t="s">
        <v>115</v>
      </c>
      <c r="C67" s="89"/>
      <c r="D67" s="181">
        <v>350</v>
      </c>
      <c r="E67" s="82">
        <v>29</v>
      </c>
      <c r="F67" s="83">
        <v>29</v>
      </c>
      <c r="G67" s="82">
        <v>29</v>
      </c>
      <c r="H67" s="83">
        <v>29</v>
      </c>
      <c r="I67" s="82">
        <v>29</v>
      </c>
      <c r="J67" s="83">
        <v>29</v>
      </c>
      <c r="K67" s="82">
        <v>29</v>
      </c>
      <c r="L67" s="83">
        <v>29</v>
      </c>
      <c r="M67" s="82">
        <v>29</v>
      </c>
      <c r="N67" s="83">
        <v>29</v>
      </c>
      <c r="O67" s="82">
        <v>29</v>
      </c>
      <c r="P67" s="82">
        <v>31</v>
      </c>
      <c r="Q67" s="123">
        <f t="shared" si="1"/>
        <v>350</v>
      </c>
      <c r="R67" s="123"/>
      <c r="S67" s="123"/>
    </row>
    <row r="68" spans="1:19">
      <c r="A68" s="88"/>
      <c r="B68" s="80" t="s">
        <v>116</v>
      </c>
      <c r="C68" s="89">
        <v>80144</v>
      </c>
      <c r="D68" s="81">
        <v>129000</v>
      </c>
      <c r="E68" s="82">
        <v>39180</v>
      </c>
      <c r="F68" s="104"/>
      <c r="G68" s="105">
        <v>53820</v>
      </c>
      <c r="H68" s="104">
        <v>4500</v>
      </c>
      <c r="I68" s="105">
        <v>4500</v>
      </c>
      <c r="J68" s="104">
        <v>4500</v>
      </c>
      <c r="K68" s="82">
        <v>4500</v>
      </c>
      <c r="L68" s="83">
        <v>4500</v>
      </c>
      <c r="M68" s="82">
        <v>4500</v>
      </c>
      <c r="N68" s="83">
        <v>4500</v>
      </c>
      <c r="O68" s="82">
        <v>4500</v>
      </c>
      <c r="P68" s="82"/>
      <c r="Q68" s="123">
        <f t="shared" si="1"/>
        <v>129000</v>
      </c>
      <c r="R68" s="123"/>
      <c r="S68" s="123"/>
    </row>
    <row r="69" spans="1:19">
      <c r="A69" s="88"/>
      <c r="B69" s="80" t="s">
        <v>117</v>
      </c>
      <c r="C69" s="89">
        <v>80148</v>
      </c>
      <c r="D69" s="90">
        <v>43989</v>
      </c>
      <c r="E69" s="105">
        <v>5000</v>
      </c>
      <c r="F69" s="104">
        <v>3000</v>
      </c>
      <c r="G69" s="105">
        <v>5000</v>
      </c>
      <c r="H69" s="104">
        <v>5000</v>
      </c>
      <c r="I69" s="105">
        <v>5000</v>
      </c>
      <c r="J69" s="104">
        <v>4000</v>
      </c>
      <c r="K69" s="105"/>
      <c r="L69" s="104"/>
      <c r="M69" s="105">
        <v>5000</v>
      </c>
      <c r="N69" s="104">
        <v>4000</v>
      </c>
      <c r="O69" s="105">
        <v>4000</v>
      </c>
      <c r="P69" s="105">
        <v>3989</v>
      </c>
      <c r="Q69" s="123">
        <f t="shared" si="1"/>
        <v>43989</v>
      </c>
      <c r="R69" s="123"/>
      <c r="S69" s="123"/>
    </row>
    <row r="70" spans="1:19">
      <c r="A70" s="88"/>
      <c r="B70" s="80" t="s">
        <v>118</v>
      </c>
      <c r="C70" s="89">
        <v>80151</v>
      </c>
      <c r="D70" s="90">
        <v>10000</v>
      </c>
      <c r="E70" s="105"/>
      <c r="F70" s="104"/>
      <c r="G70" s="105"/>
      <c r="H70" s="104">
        <v>3000</v>
      </c>
      <c r="I70" s="105"/>
      <c r="J70" s="104">
        <v>3000</v>
      </c>
      <c r="K70" s="105"/>
      <c r="L70" s="104"/>
      <c r="M70" s="105"/>
      <c r="N70" s="104">
        <v>3000</v>
      </c>
      <c r="O70" s="105">
        <v>1000</v>
      </c>
      <c r="P70" s="105"/>
      <c r="Q70" s="123">
        <f t="shared" si="1"/>
        <v>10000</v>
      </c>
      <c r="R70" s="123"/>
      <c r="S70" s="123"/>
    </row>
    <row r="71" spans="1:19" s="4" customFormat="1">
      <c r="A71" s="88"/>
      <c r="B71" s="80" t="s">
        <v>70</v>
      </c>
      <c r="C71" s="89">
        <v>80195</v>
      </c>
      <c r="D71" s="90">
        <v>156000</v>
      </c>
      <c r="E71" s="105">
        <v>156000</v>
      </c>
      <c r="F71" s="104"/>
      <c r="G71" s="105"/>
      <c r="H71" s="104"/>
      <c r="I71" s="105"/>
      <c r="J71" s="104"/>
      <c r="K71" s="105"/>
      <c r="L71" s="104"/>
      <c r="M71" s="105"/>
      <c r="N71" s="104"/>
      <c r="O71" s="105"/>
      <c r="P71" s="105"/>
      <c r="Q71" s="123"/>
      <c r="R71" s="123"/>
      <c r="S71" s="123"/>
    </row>
    <row r="72" spans="1:19">
      <c r="A72" s="87">
        <v>851</v>
      </c>
      <c r="B72" s="76" t="s">
        <v>119</v>
      </c>
      <c r="C72" s="77"/>
      <c r="D72" s="106">
        <f>SUM(D73:D73)</f>
        <v>1398400</v>
      </c>
      <c r="E72" s="106">
        <f t="shared" ref="E72:P72" si="22">SUM(E73:E73)</f>
        <v>3500</v>
      </c>
      <c r="F72" s="107">
        <f t="shared" si="22"/>
        <v>116660</v>
      </c>
      <c r="G72" s="106">
        <f t="shared" si="22"/>
        <v>116660</v>
      </c>
      <c r="H72" s="107">
        <f t="shared" si="22"/>
        <v>116660</v>
      </c>
      <c r="I72" s="106">
        <f t="shared" si="22"/>
        <v>116660</v>
      </c>
      <c r="J72" s="107">
        <f t="shared" si="22"/>
        <v>116660</v>
      </c>
      <c r="K72" s="106">
        <f t="shared" si="22"/>
        <v>116660</v>
      </c>
      <c r="L72" s="107">
        <f t="shared" si="22"/>
        <v>116660</v>
      </c>
      <c r="M72" s="106">
        <f t="shared" si="22"/>
        <v>116660</v>
      </c>
      <c r="N72" s="107">
        <f t="shared" si="22"/>
        <v>116660</v>
      </c>
      <c r="O72" s="106">
        <f t="shared" si="22"/>
        <v>116660</v>
      </c>
      <c r="P72" s="106">
        <f t="shared" si="22"/>
        <v>228300</v>
      </c>
      <c r="Q72" s="123">
        <f t="shared" si="1"/>
        <v>1398400</v>
      </c>
      <c r="R72" s="123"/>
      <c r="S72" s="123"/>
    </row>
    <row r="73" spans="1:19">
      <c r="A73" s="88"/>
      <c r="B73" s="80" t="s">
        <v>120</v>
      </c>
      <c r="C73" s="89">
        <v>85156</v>
      </c>
      <c r="D73" s="90">
        <f>SUM(D74:D75)</f>
        <v>1398400</v>
      </c>
      <c r="E73" s="91">
        <f t="shared" ref="E73:P73" si="23">SUM(E74:E75)</f>
        <v>3500</v>
      </c>
      <c r="F73" s="92">
        <f t="shared" si="23"/>
        <v>116660</v>
      </c>
      <c r="G73" s="91">
        <f t="shared" si="23"/>
        <v>116660</v>
      </c>
      <c r="H73" s="92">
        <f t="shared" si="23"/>
        <v>116660</v>
      </c>
      <c r="I73" s="91">
        <f t="shared" si="23"/>
        <v>116660</v>
      </c>
      <c r="J73" s="92">
        <f t="shared" si="23"/>
        <v>116660</v>
      </c>
      <c r="K73" s="91">
        <f t="shared" si="23"/>
        <v>116660</v>
      </c>
      <c r="L73" s="92">
        <f t="shared" si="23"/>
        <v>116660</v>
      </c>
      <c r="M73" s="91">
        <f t="shared" si="23"/>
        <v>116660</v>
      </c>
      <c r="N73" s="92">
        <f t="shared" si="23"/>
        <v>116660</v>
      </c>
      <c r="O73" s="91">
        <f t="shared" si="23"/>
        <v>116660</v>
      </c>
      <c r="P73" s="91">
        <f t="shared" si="23"/>
        <v>228300</v>
      </c>
      <c r="Q73" s="123">
        <f t="shared" si="1"/>
        <v>1398400</v>
      </c>
      <c r="R73" s="123"/>
      <c r="S73" s="123"/>
    </row>
    <row r="74" spans="1:19">
      <c r="A74" s="88"/>
      <c r="B74" s="80" t="s">
        <v>121</v>
      </c>
      <c r="C74" s="89"/>
      <c r="D74" s="90">
        <v>13500</v>
      </c>
      <c r="E74" s="82"/>
      <c r="F74" s="83">
        <v>1160</v>
      </c>
      <c r="G74" s="82">
        <v>1160</v>
      </c>
      <c r="H74" s="83">
        <v>1160</v>
      </c>
      <c r="I74" s="82">
        <v>1160</v>
      </c>
      <c r="J74" s="83">
        <v>1160</v>
      </c>
      <c r="K74" s="82">
        <v>1160</v>
      </c>
      <c r="L74" s="83">
        <v>1160</v>
      </c>
      <c r="M74" s="82">
        <v>1160</v>
      </c>
      <c r="N74" s="83">
        <v>1160</v>
      </c>
      <c r="O74" s="82">
        <v>1160</v>
      </c>
      <c r="P74" s="82">
        <v>1900</v>
      </c>
      <c r="Q74" s="123">
        <f t="shared" si="1"/>
        <v>13500</v>
      </c>
      <c r="R74" s="123"/>
      <c r="S74" s="123"/>
    </row>
    <row r="75" spans="1:19">
      <c r="A75" s="88"/>
      <c r="B75" s="80" t="s">
        <v>122</v>
      </c>
      <c r="C75" s="89"/>
      <c r="D75" s="90">
        <v>1384900</v>
      </c>
      <c r="E75" s="82">
        <v>3500</v>
      </c>
      <c r="F75" s="83">
        <v>115500</v>
      </c>
      <c r="G75" s="91">
        <v>115500</v>
      </c>
      <c r="H75" s="92">
        <v>115500</v>
      </c>
      <c r="I75" s="91">
        <v>115500</v>
      </c>
      <c r="J75" s="92">
        <v>115500</v>
      </c>
      <c r="K75" s="91">
        <v>115500</v>
      </c>
      <c r="L75" s="92">
        <v>115500</v>
      </c>
      <c r="M75" s="91">
        <v>115500</v>
      </c>
      <c r="N75" s="92">
        <v>115500</v>
      </c>
      <c r="O75" s="91">
        <v>115500</v>
      </c>
      <c r="P75" s="91">
        <v>226400</v>
      </c>
      <c r="Q75" s="123">
        <f t="shared" si="1"/>
        <v>1384900</v>
      </c>
      <c r="R75" s="123"/>
      <c r="S75" s="123"/>
    </row>
    <row r="76" spans="1:19">
      <c r="A76" s="87">
        <v>852</v>
      </c>
      <c r="B76" s="76" t="s">
        <v>123</v>
      </c>
      <c r="C76" s="77"/>
      <c r="D76" s="78">
        <f>SUM(D77+D81+D84)</f>
        <v>8710236</v>
      </c>
      <c r="E76" s="78">
        <f t="shared" ref="E76:Q76" si="24">SUM(E77+E81+E84)</f>
        <v>520186</v>
      </c>
      <c r="F76" s="78">
        <f t="shared" si="24"/>
        <v>725293</v>
      </c>
      <c r="G76" s="78">
        <f t="shared" si="24"/>
        <v>791239</v>
      </c>
      <c r="H76" s="78">
        <f t="shared" si="24"/>
        <v>735434</v>
      </c>
      <c r="I76" s="78">
        <f t="shared" si="24"/>
        <v>735435</v>
      </c>
      <c r="J76" s="78">
        <f t="shared" si="24"/>
        <v>725346</v>
      </c>
      <c r="K76" s="78">
        <f t="shared" si="24"/>
        <v>724093</v>
      </c>
      <c r="L76" s="78">
        <f t="shared" si="24"/>
        <v>724093</v>
      </c>
      <c r="M76" s="78">
        <f t="shared" si="24"/>
        <v>731899</v>
      </c>
      <c r="N76" s="78">
        <f t="shared" si="24"/>
        <v>724089</v>
      </c>
      <c r="O76" s="78">
        <f t="shared" si="24"/>
        <v>725093</v>
      </c>
      <c r="P76" s="78">
        <f t="shared" si="24"/>
        <v>848036</v>
      </c>
      <c r="Q76" s="78">
        <f t="shared" si="24"/>
        <v>8710236</v>
      </c>
      <c r="R76" s="123"/>
      <c r="S76" s="123"/>
    </row>
    <row r="77" spans="1:19">
      <c r="A77" s="88"/>
      <c r="B77" s="80" t="s">
        <v>124</v>
      </c>
      <c r="C77" s="89">
        <v>85202</v>
      </c>
      <c r="D77" s="90">
        <f>SUM(D78:D80)</f>
        <v>6670271</v>
      </c>
      <c r="E77" s="91">
        <f t="shared" ref="E77:P77" si="25">SUM(E78:E80)</f>
        <v>374255</v>
      </c>
      <c r="F77" s="92">
        <f t="shared" si="25"/>
        <v>562362</v>
      </c>
      <c r="G77" s="91">
        <f t="shared" si="25"/>
        <v>562162</v>
      </c>
      <c r="H77" s="92">
        <f t="shared" si="25"/>
        <v>562162</v>
      </c>
      <c r="I77" s="91">
        <f t="shared" si="25"/>
        <v>562162</v>
      </c>
      <c r="J77" s="92">
        <f t="shared" si="25"/>
        <v>562162</v>
      </c>
      <c r="K77" s="91">
        <f t="shared" si="25"/>
        <v>562162</v>
      </c>
      <c r="L77" s="92">
        <f t="shared" si="25"/>
        <v>562162</v>
      </c>
      <c r="M77" s="91">
        <f t="shared" si="25"/>
        <v>562162</v>
      </c>
      <c r="N77" s="92">
        <f t="shared" si="25"/>
        <v>562162</v>
      </c>
      <c r="O77" s="91">
        <f t="shared" si="25"/>
        <v>562162</v>
      </c>
      <c r="P77" s="91">
        <f t="shared" si="25"/>
        <v>674196</v>
      </c>
      <c r="Q77" s="123">
        <f t="shared" si="1"/>
        <v>6670271</v>
      </c>
      <c r="R77" s="123"/>
      <c r="S77" s="123"/>
    </row>
    <row r="78" spans="1:19">
      <c r="A78" s="88"/>
      <c r="B78" s="80" t="s">
        <v>125</v>
      </c>
      <c r="C78" s="89"/>
      <c r="D78" s="90">
        <v>2549926</v>
      </c>
      <c r="E78" s="91">
        <v>35245</v>
      </c>
      <c r="F78" s="92">
        <v>219000</v>
      </c>
      <c r="G78" s="91">
        <v>218800</v>
      </c>
      <c r="H78" s="92">
        <v>218800</v>
      </c>
      <c r="I78" s="91">
        <v>218800</v>
      </c>
      <c r="J78" s="92">
        <v>218800</v>
      </c>
      <c r="K78" s="91">
        <v>218800</v>
      </c>
      <c r="L78" s="92">
        <v>218800</v>
      </c>
      <c r="M78" s="91">
        <v>218800</v>
      </c>
      <c r="N78" s="92">
        <v>218800</v>
      </c>
      <c r="O78" s="91">
        <v>218800</v>
      </c>
      <c r="P78" s="91">
        <v>326481</v>
      </c>
      <c r="Q78" s="123">
        <f t="shared" si="1"/>
        <v>2549926</v>
      </c>
      <c r="R78" s="123"/>
      <c r="S78" s="123"/>
    </row>
    <row r="79" spans="1:19">
      <c r="A79" s="88"/>
      <c r="B79" s="80" t="s">
        <v>126</v>
      </c>
      <c r="C79" s="89"/>
      <c r="D79" s="90">
        <v>2522905</v>
      </c>
      <c r="E79" s="91">
        <v>205890</v>
      </c>
      <c r="F79" s="92">
        <v>210242</v>
      </c>
      <c r="G79" s="91">
        <v>210242</v>
      </c>
      <c r="H79" s="92">
        <v>210242</v>
      </c>
      <c r="I79" s="91">
        <v>210242</v>
      </c>
      <c r="J79" s="92">
        <v>210242</v>
      </c>
      <c r="K79" s="91">
        <v>210242</v>
      </c>
      <c r="L79" s="92">
        <v>210242</v>
      </c>
      <c r="M79" s="91">
        <v>210242</v>
      </c>
      <c r="N79" s="92">
        <v>210242</v>
      </c>
      <c r="O79" s="91">
        <v>210242</v>
      </c>
      <c r="P79" s="91">
        <v>214595</v>
      </c>
      <c r="Q79" s="123">
        <f t="shared" si="1"/>
        <v>2522905</v>
      </c>
      <c r="R79" s="123"/>
      <c r="S79" s="123"/>
    </row>
    <row r="80" spans="1:19">
      <c r="A80" s="88"/>
      <c r="B80" s="80" t="s">
        <v>127</v>
      </c>
      <c r="C80" s="89"/>
      <c r="D80" s="90">
        <v>1597440</v>
      </c>
      <c r="E80" s="91">
        <v>133120</v>
      </c>
      <c r="F80" s="92">
        <v>133120</v>
      </c>
      <c r="G80" s="91">
        <v>133120</v>
      </c>
      <c r="H80" s="92">
        <v>133120</v>
      </c>
      <c r="I80" s="91">
        <v>133120</v>
      </c>
      <c r="J80" s="92">
        <v>133120</v>
      </c>
      <c r="K80" s="91">
        <v>133120</v>
      </c>
      <c r="L80" s="92">
        <v>133120</v>
      </c>
      <c r="M80" s="91">
        <v>133120</v>
      </c>
      <c r="N80" s="92">
        <v>133120</v>
      </c>
      <c r="O80" s="91">
        <v>133120</v>
      </c>
      <c r="P80" s="91">
        <v>133120</v>
      </c>
      <c r="Q80" s="123">
        <f t="shared" si="1"/>
        <v>1597440</v>
      </c>
      <c r="R80" s="123"/>
      <c r="S80" s="123"/>
    </row>
    <row r="81" spans="1:19">
      <c r="A81" s="88"/>
      <c r="B81" s="80" t="s">
        <v>128</v>
      </c>
      <c r="C81" s="89">
        <v>85203</v>
      </c>
      <c r="D81" s="90">
        <f>SUM(D82:D83)</f>
        <v>1838345</v>
      </c>
      <c r="E81" s="90">
        <f>SUM(E82:E83)</f>
        <v>144931</v>
      </c>
      <c r="F81" s="90">
        <f t="shared" ref="F81:P81" si="26">SUM(F82:F83)</f>
        <v>144931</v>
      </c>
      <c r="G81" s="90">
        <f t="shared" si="26"/>
        <v>211077</v>
      </c>
      <c r="H81" s="90">
        <f t="shared" si="26"/>
        <v>156272</v>
      </c>
      <c r="I81" s="90">
        <f t="shared" si="26"/>
        <v>156273</v>
      </c>
      <c r="J81" s="90">
        <f t="shared" si="26"/>
        <v>146184</v>
      </c>
      <c r="K81" s="90">
        <f t="shared" si="26"/>
        <v>144931</v>
      </c>
      <c r="L81" s="90">
        <f t="shared" si="26"/>
        <v>144931</v>
      </c>
      <c r="M81" s="90">
        <f t="shared" si="26"/>
        <v>152737</v>
      </c>
      <c r="N81" s="90">
        <f t="shared" si="26"/>
        <v>144927</v>
      </c>
      <c r="O81" s="90">
        <f t="shared" si="26"/>
        <v>145931</v>
      </c>
      <c r="P81" s="90">
        <f t="shared" si="26"/>
        <v>145220</v>
      </c>
      <c r="Q81" s="123">
        <f t="shared" ref="Q81:Q113" si="27">SUM(E81:P81)</f>
        <v>1838345</v>
      </c>
      <c r="R81" s="123"/>
      <c r="S81" s="123"/>
    </row>
    <row r="82" spans="1:19">
      <c r="A82" s="88"/>
      <c r="B82" s="80" t="s">
        <v>82</v>
      </c>
      <c r="C82" s="89"/>
      <c r="D82" s="90">
        <v>1013</v>
      </c>
      <c r="E82" s="91"/>
      <c r="F82" s="92"/>
      <c r="G82" s="91">
        <v>253</v>
      </c>
      <c r="H82" s="92"/>
      <c r="I82" s="91"/>
      <c r="J82" s="92">
        <v>253</v>
      </c>
      <c r="K82" s="91"/>
      <c r="L82" s="92"/>
      <c r="M82" s="91">
        <v>253</v>
      </c>
      <c r="N82" s="92"/>
      <c r="O82" s="91"/>
      <c r="P82" s="91">
        <v>254</v>
      </c>
      <c r="Q82" s="123">
        <f t="shared" si="27"/>
        <v>1013</v>
      </c>
      <c r="R82" s="123"/>
      <c r="S82" s="123"/>
    </row>
    <row r="83" spans="1:19">
      <c r="A83" s="88"/>
      <c r="B83" s="80" t="s">
        <v>83</v>
      </c>
      <c r="C83" s="89"/>
      <c r="D83" s="90">
        <v>1837332</v>
      </c>
      <c r="E83" s="91">
        <f>55043+48387+41501</f>
        <v>144931</v>
      </c>
      <c r="F83" s="92">
        <f>55043+48387+41501</f>
        <v>144931</v>
      </c>
      <c r="G83" s="91">
        <f>80996+69704+60124</f>
        <v>210824</v>
      </c>
      <c r="H83" s="92">
        <f>59712+51947+44613</f>
        <v>156272</v>
      </c>
      <c r="I83" s="91">
        <f>59712+51947+44614</f>
        <v>156273</v>
      </c>
      <c r="J83" s="92">
        <f>55543+48887+41501</f>
        <v>145931</v>
      </c>
      <c r="K83" s="91">
        <f>55043+48387+41501</f>
        <v>144931</v>
      </c>
      <c r="L83" s="92">
        <f>55043+48387+41501</f>
        <v>144931</v>
      </c>
      <c r="M83" s="91">
        <f>58155+50753+43576</f>
        <v>152484</v>
      </c>
      <c r="N83" s="92">
        <f>55043+48383+41501</f>
        <v>144927</v>
      </c>
      <c r="O83" s="91">
        <f>55543+48887+41501</f>
        <v>145931</v>
      </c>
      <c r="P83" s="91">
        <f>55060+48388+41518</f>
        <v>144966</v>
      </c>
      <c r="Q83" s="123">
        <f t="shared" si="27"/>
        <v>1837332</v>
      </c>
      <c r="R83" s="123"/>
      <c r="S83" s="123"/>
    </row>
    <row r="84" spans="1:19">
      <c r="A84" s="88"/>
      <c r="B84" s="80" t="s">
        <v>130</v>
      </c>
      <c r="C84" s="89">
        <v>85218</v>
      </c>
      <c r="D84" s="90">
        <v>201620</v>
      </c>
      <c r="E84" s="91">
        <v>1000</v>
      </c>
      <c r="F84" s="92">
        <v>18000</v>
      </c>
      <c r="G84" s="91">
        <v>18000</v>
      </c>
      <c r="H84" s="92">
        <v>17000</v>
      </c>
      <c r="I84" s="91">
        <v>17000</v>
      </c>
      <c r="J84" s="92">
        <v>17000</v>
      </c>
      <c r="K84" s="91">
        <v>17000</v>
      </c>
      <c r="L84" s="92">
        <v>17000</v>
      </c>
      <c r="M84" s="91">
        <v>17000</v>
      </c>
      <c r="N84" s="92">
        <v>17000</v>
      </c>
      <c r="O84" s="91">
        <v>17000</v>
      </c>
      <c r="P84" s="91">
        <v>28620</v>
      </c>
      <c r="Q84" s="123">
        <f t="shared" si="27"/>
        <v>201620</v>
      </c>
      <c r="R84" s="123"/>
      <c r="S84" s="123"/>
    </row>
    <row r="85" spans="1:19">
      <c r="A85" s="87">
        <v>853</v>
      </c>
      <c r="B85" s="76" t="s">
        <v>131</v>
      </c>
      <c r="C85" s="77"/>
      <c r="D85" s="78">
        <f>SUM(D86+D89+D90+D91)</f>
        <v>695388</v>
      </c>
      <c r="E85" s="78">
        <f t="shared" ref="E85:P85" si="28">SUM(E86+E89+E90+E91)</f>
        <v>59445</v>
      </c>
      <c r="F85" s="78">
        <f t="shared" si="28"/>
        <v>65090</v>
      </c>
      <c r="G85" s="78">
        <f t="shared" si="28"/>
        <v>57531</v>
      </c>
      <c r="H85" s="78">
        <f t="shared" si="28"/>
        <v>57244</v>
      </c>
      <c r="I85" s="78">
        <f t="shared" si="28"/>
        <v>57754</v>
      </c>
      <c r="J85" s="78">
        <f t="shared" si="28"/>
        <v>57085</v>
      </c>
      <c r="K85" s="78">
        <f t="shared" si="28"/>
        <v>54789</v>
      </c>
      <c r="L85" s="78">
        <f t="shared" si="28"/>
        <v>55084</v>
      </c>
      <c r="M85" s="78">
        <f t="shared" si="28"/>
        <v>55669</v>
      </c>
      <c r="N85" s="78">
        <f t="shared" si="28"/>
        <v>55999</v>
      </c>
      <c r="O85" s="78">
        <f t="shared" si="28"/>
        <v>58569</v>
      </c>
      <c r="P85" s="78">
        <f t="shared" si="28"/>
        <v>61129</v>
      </c>
      <c r="Q85" s="123">
        <f t="shared" si="27"/>
        <v>695388</v>
      </c>
      <c r="R85" s="123"/>
      <c r="S85" s="123"/>
    </row>
    <row r="86" spans="1:19">
      <c r="A86" s="69"/>
      <c r="B86" s="80" t="s">
        <v>132</v>
      </c>
      <c r="C86" s="89">
        <v>85321</v>
      </c>
      <c r="D86" s="90">
        <f>SUM(D87:D88)</f>
        <v>167597</v>
      </c>
      <c r="E86" s="90">
        <f t="shared" ref="E86:P86" si="29">SUM(E87:E88)</f>
        <v>16104</v>
      </c>
      <c r="F86" s="90">
        <f t="shared" si="29"/>
        <v>21749</v>
      </c>
      <c r="G86" s="90">
        <f t="shared" si="29"/>
        <v>14190</v>
      </c>
      <c r="H86" s="90">
        <f t="shared" si="29"/>
        <v>13903</v>
      </c>
      <c r="I86" s="90">
        <f t="shared" si="29"/>
        <v>13863</v>
      </c>
      <c r="J86" s="90">
        <f t="shared" si="29"/>
        <v>13194</v>
      </c>
      <c r="K86" s="90">
        <f t="shared" si="29"/>
        <v>10898</v>
      </c>
      <c r="L86" s="90">
        <f t="shared" si="29"/>
        <v>10643</v>
      </c>
      <c r="M86" s="90">
        <f t="shared" si="29"/>
        <v>11228</v>
      </c>
      <c r="N86" s="90">
        <f t="shared" si="29"/>
        <v>11558</v>
      </c>
      <c r="O86" s="90">
        <f t="shared" si="29"/>
        <v>13853</v>
      </c>
      <c r="P86" s="90">
        <f t="shared" si="29"/>
        <v>16414</v>
      </c>
      <c r="Q86" s="123">
        <f t="shared" si="27"/>
        <v>167597</v>
      </c>
      <c r="R86" s="123"/>
      <c r="S86" s="123"/>
    </row>
    <row r="87" spans="1:19">
      <c r="A87" s="69"/>
      <c r="B87" s="80" t="s">
        <v>83</v>
      </c>
      <c r="C87" s="89"/>
      <c r="D87" s="90">
        <v>167475</v>
      </c>
      <c r="E87" s="82">
        <v>16104</v>
      </c>
      <c r="F87" s="83">
        <v>21749</v>
      </c>
      <c r="G87" s="82">
        <v>14160</v>
      </c>
      <c r="H87" s="83">
        <v>13903</v>
      </c>
      <c r="I87" s="82">
        <v>13863</v>
      </c>
      <c r="J87" s="83">
        <v>13163</v>
      </c>
      <c r="K87" s="82">
        <v>10898</v>
      </c>
      <c r="L87" s="83">
        <v>10643</v>
      </c>
      <c r="M87" s="82">
        <v>11198</v>
      </c>
      <c r="N87" s="83">
        <v>11558</v>
      </c>
      <c r="O87" s="82">
        <v>13853</v>
      </c>
      <c r="P87" s="82">
        <v>16383</v>
      </c>
      <c r="Q87" s="123"/>
      <c r="R87" s="123"/>
      <c r="S87" s="123"/>
    </row>
    <row r="88" spans="1:19">
      <c r="A88" s="69"/>
      <c r="B88" s="80" t="s">
        <v>82</v>
      </c>
      <c r="C88" s="89"/>
      <c r="D88" s="90">
        <v>122</v>
      </c>
      <c r="E88" s="82"/>
      <c r="F88" s="83"/>
      <c r="G88" s="82">
        <v>30</v>
      </c>
      <c r="H88" s="83"/>
      <c r="I88" s="82"/>
      <c r="J88" s="83">
        <v>31</v>
      </c>
      <c r="K88" s="82"/>
      <c r="L88" s="83"/>
      <c r="M88" s="82">
        <v>30</v>
      </c>
      <c r="N88" s="83"/>
      <c r="O88" s="82"/>
      <c r="P88" s="82">
        <v>31</v>
      </c>
      <c r="Q88" s="123"/>
      <c r="R88" s="123"/>
      <c r="S88" s="123"/>
    </row>
    <row r="89" spans="1:19">
      <c r="A89" s="69"/>
      <c r="B89" s="80" t="s">
        <v>133</v>
      </c>
      <c r="C89" s="89">
        <v>85322</v>
      </c>
      <c r="D89" s="90">
        <v>398615</v>
      </c>
      <c r="E89" s="91">
        <v>33218</v>
      </c>
      <c r="F89" s="92">
        <v>33218</v>
      </c>
      <c r="G89" s="91">
        <v>33218</v>
      </c>
      <c r="H89" s="92">
        <v>33218</v>
      </c>
      <c r="I89" s="91">
        <v>33218</v>
      </c>
      <c r="J89" s="92">
        <v>33218</v>
      </c>
      <c r="K89" s="91">
        <v>33218</v>
      </c>
      <c r="L89" s="92">
        <v>33218</v>
      </c>
      <c r="M89" s="91">
        <v>33218</v>
      </c>
      <c r="N89" s="92">
        <v>33218</v>
      </c>
      <c r="O89" s="91">
        <v>33218</v>
      </c>
      <c r="P89" s="91">
        <v>33217</v>
      </c>
      <c r="Q89" s="123"/>
      <c r="R89" s="123"/>
      <c r="S89" s="123"/>
    </row>
    <row r="90" spans="1:19">
      <c r="A90" s="69"/>
      <c r="B90" s="80" t="s">
        <v>134</v>
      </c>
      <c r="C90" s="89">
        <v>85324</v>
      </c>
      <c r="D90" s="90">
        <v>38976</v>
      </c>
      <c r="E90" s="91">
        <v>3248</v>
      </c>
      <c r="F90" s="92">
        <v>3248</v>
      </c>
      <c r="G90" s="91">
        <v>3248</v>
      </c>
      <c r="H90" s="92">
        <v>3248</v>
      </c>
      <c r="I90" s="91">
        <v>3248</v>
      </c>
      <c r="J90" s="92">
        <v>3248</v>
      </c>
      <c r="K90" s="91">
        <v>3248</v>
      </c>
      <c r="L90" s="92">
        <v>3248</v>
      </c>
      <c r="M90" s="91">
        <v>3248</v>
      </c>
      <c r="N90" s="92">
        <v>3248</v>
      </c>
      <c r="O90" s="91">
        <v>3248</v>
      </c>
      <c r="P90" s="91">
        <v>3248</v>
      </c>
      <c r="Q90" s="123"/>
      <c r="R90" s="123"/>
      <c r="S90" s="123"/>
    </row>
    <row r="91" spans="1:19">
      <c r="A91" s="88"/>
      <c r="B91" s="80" t="s">
        <v>135</v>
      </c>
      <c r="C91" s="89">
        <v>85333</v>
      </c>
      <c r="D91" s="90">
        <v>90200</v>
      </c>
      <c r="E91" s="82">
        <v>6875</v>
      </c>
      <c r="F91" s="83">
        <v>6875</v>
      </c>
      <c r="G91" s="82">
        <v>6875</v>
      </c>
      <c r="H91" s="83">
        <v>6875</v>
      </c>
      <c r="I91" s="82">
        <v>7425</v>
      </c>
      <c r="J91" s="83">
        <v>7425</v>
      </c>
      <c r="K91" s="82">
        <v>7425</v>
      </c>
      <c r="L91" s="83">
        <v>7975</v>
      </c>
      <c r="M91" s="82">
        <v>7975</v>
      </c>
      <c r="N91" s="83">
        <v>7975</v>
      </c>
      <c r="O91" s="82">
        <v>8250</v>
      </c>
      <c r="P91" s="82">
        <v>8250</v>
      </c>
      <c r="Q91" s="123"/>
      <c r="R91" s="123"/>
      <c r="S91" s="123"/>
    </row>
    <row r="92" spans="1:19">
      <c r="A92" s="87">
        <v>854</v>
      </c>
      <c r="B92" s="76" t="s">
        <v>136</v>
      </c>
      <c r="C92" s="77"/>
      <c r="D92" s="78">
        <f>SUM(D93+D94+D95+D98)</f>
        <v>422937</v>
      </c>
      <c r="E92" s="78">
        <f t="shared" ref="E92:P92" si="30">SUM(E93+E94+E95+E98)</f>
        <v>43350</v>
      </c>
      <c r="F92" s="78">
        <f t="shared" si="30"/>
        <v>35835</v>
      </c>
      <c r="G92" s="78">
        <f t="shared" si="30"/>
        <v>43445</v>
      </c>
      <c r="H92" s="78">
        <f t="shared" si="30"/>
        <v>33500</v>
      </c>
      <c r="I92" s="78">
        <f t="shared" si="30"/>
        <v>33535</v>
      </c>
      <c r="J92" s="78">
        <f t="shared" si="30"/>
        <v>23795</v>
      </c>
      <c r="K92" s="78">
        <f t="shared" si="30"/>
        <v>17407</v>
      </c>
      <c r="L92" s="78">
        <f t="shared" si="30"/>
        <v>15073</v>
      </c>
      <c r="M92" s="78">
        <f t="shared" si="30"/>
        <v>45380</v>
      </c>
      <c r="N92" s="78">
        <f t="shared" si="30"/>
        <v>45690</v>
      </c>
      <c r="O92" s="78">
        <f t="shared" si="30"/>
        <v>45070</v>
      </c>
      <c r="P92" s="78">
        <f t="shared" si="30"/>
        <v>40857</v>
      </c>
      <c r="Q92" s="123">
        <f t="shared" si="27"/>
        <v>422937</v>
      </c>
      <c r="R92" s="123"/>
      <c r="S92" s="123"/>
    </row>
    <row r="93" spans="1:19" s="59" customFormat="1">
      <c r="A93" s="88"/>
      <c r="B93" s="80" t="s">
        <v>137</v>
      </c>
      <c r="C93" s="89">
        <v>85406</v>
      </c>
      <c r="D93" s="81">
        <v>12447</v>
      </c>
      <c r="E93" s="90">
        <v>1300</v>
      </c>
      <c r="F93" s="186">
        <v>1500</v>
      </c>
      <c r="G93" s="90">
        <v>1500</v>
      </c>
      <c r="H93" s="186">
        <v>1200</v>
      </c>
      <c r="I93" s="90">
        <v>900</v>
      </c>
      <c r="J93" s="186">
        <v>700</v>
      </c>
      <c r="K93" s="90">
        <v>500</v>
      </c>
      <c r="L93" s="186">
        <v>500</v>
      </c>
      <c r="M93" s="90">
        <v>500</v>
      </c>
      <c r="N93" s="186">
        <v>800</v>
      </c>
      <c r="O93" s="90">
        <v>1400</v>
      </c>
      <c r="P93" s="90">
        <v>1647</v>
      </c>
      <c r="Q93" s="187">
        <f t="shared" si="27"/>
        <v>12447</v>
      </c>
      <c r="R93" s="123"/>
      <c r="S93" s="123"/>
    </row>
    <row r="94" spans="1:19">
      <c r="A94" s="88"/>
      <c r="B94" s="80" t="s">
        <v>138</v>
      </c>
      <c r="C94" s="89">
        <v>85407</v>
      </c>
      <c r="D94" s="90">
        <v>990</v>
      </c>
      <c r="E94" s="82">
        <v>250</v>
      </c>
      <c r="F94" s="83">
        <v>135</v>
      </c>
      <c r="G94" s="82">
        <v>145</v>
      </c>
      <c r="H94" s="83">
        <v>145</v>
      </c>
      <c r="I94" s="82">
        <v>35</v>
      </c>
      <c r="J94" s="83">
        <v>45</v>
      </c>
      <c r="K94" s="82">
        <v>35</v>
      </c>
      <c r="L94" s="83">
        <v>45</v>
      </c>
      <c r="M94" s="82">
        <v>35</v>
      </c>
      <c r="N94" s="83">
        <v>45</v>
      </c>
      <c r="O94" s="82">
        <v>40</v>
      </c>
      <c r="P94" s="82">
        <v>35</v>
      </c>
      <c r="Q94" s="123">
        <f t="shared" si="27"/>
        <v>990</v>
      </c>
      <c r="R94" s="123"/>
      <c r="S94" s="123"/>
    </row>
    <row r="95" spans="1:19">
      <c r="A95" s="88"/>
      <c r="B95" s="80" t="s">
        <v>139</v>
      </c>
      <c r="C95" s="89">
        <v>85410</v>
      </c>
      <c r="D95" s="90">
        <f>SUM(D96:D97)</f>
        <v>368156</v>
      </c>
      <c r="E95" s="91">
        <f t="shared" ref="E95:P95" si="31">SUM(E96:E97)</f>
        <v>38800</v>
      </c>
      <c r="F95" s="92">
        <f t="shared" si="31"/>
        <v>31200</v>
      </c>
      <c r="G95" s="91">
        <f t="shared" si="31"/>
        <v>38800</v>
      </c>
      <c r="H95" s="92">
        <f t="shared" si="31"/>
        <v>32155</v>
      </c>
      <c r="I95" s="91">
        <f t="shared" si="31"/>
        <v>32600</v>
      </c>
      <c r="J95" s="92">
        <f t="shared" si="31"/>
        <v>23050</v>
      </c>
      <c r="K95" s="91">
        <f t="shared" si="31"/>
        <v>9528</v>
      </c>
      <c r="L95" s="92">
        <f t="shared" si="31"/>
        <v>9528</v>
      </c>
      <c r="M95" s="91">
        <f t="shared" si="31"/>
        <v>39845</v>
      </c>
      <c r="N95" s="92">
        <f t="shared" si="31"/>
        <v>39845</v>
      </c>
      <c r="O95" s="91">
        <f t="shared" si="31"/>
        <v>38630</v>
      </c>
      <c r="P95" s="91">
        <f t="shared" si="31"/>
        <v>34175</v>
      </c>
      <c r="Q95" s="123">
        <f t="shared" si="27"/>
        <v>368156</v>
      </c>
      <c r="R95" s="123"/>
      <c r="S95" s="123"/>
    </row>
    <row r="96" spans="1:19">
      <c r="A96" s="88"/>
      <c r="B96" s="80" t="s">
        <v>113</v>
      </c>
      <c r="C96" s="89"/>
      <c r="D96" s="81">
        <v>214056</v>
      </c>
      <c r="E96" s="82">
        <v>20000</v>
      </c>
      <c r="F96" s="83">
        <v>20000</v>
      </c>
      <c r="G96" s="91">
        <v>20000</v>
      </c>
      <c r="H96" s="92">
        <v>20000</v>
      </c>
      <c r="I96" s="91">
        <v>20000</v>
      </c>
      <c r="J96" s="92">
        <v>15000</v>
      </c>
      <c r="K96" s="91">
        <v>9528</v>
      </c>
      <c r="L96" s="92">
        <v>9528</v>
      </c>
      <c r="M96" s="91">
        <v>20000</v>
      </c>
      <c r="N96" s="92">
        <v>20000</v>
      </c>
      <c r="O96" s="91">
        <v>20000</v>
      </c>
      <c r="P96" s="91">
        <v>20000</v>
      </c>
      <c r="Q96" s="123">
        <f t="shared" si="27"/>
        <v>214056</v>
      </c>
      <c r="R96" s="123"/>
      <c r="S96" s="123"/>
    </row>
    <row r="97" spans="1:19">
      <c r="A97" s="88"/>
      <c r="B97" s="80" t="s">
        <v>114</v>
      </c>
      <c r="C97" s="89"/>
      <c r="D97" s="108">
        <v>154100</v>
      </c>
      <c r="E97" s="82">
        <v>18800</v>
      </c>
      <c r="F97" s="83">
        <v>11200</v>
      </c>
      <c r="G97" s="82">
        <v>18800</v>
      </c>
      <c r="H97" s="83">
        <v>12155</v>
      </c>
      <c r="I97" s="82">
        <v>12600</v>
      </c>
      <c r="J97" s="83">
        <v>8050</v>
      </c>
      <c r="K97" s="82"/>
      <c r="L97" s="83"/>
      <c r="M97" s="82">
        <v>19845</v>
      </c>
      <c r="N97" s="83">
        <v>19845</v>
      </c>
      <c r="O97" s="82">
        <v>18630</v>
      </c>
      <c r="P97" s="82">
        <v>14175</v>
      </c>
      <c r="Q97" s="123">
        <f t="shared" si="27"/>
        <v>154100</v>
      </c>
      <c r="R97" s="123"/>
      <c r="S97" s="123"/>
    </row>
    <row r="98" spans="1:19">
      <c r="A98" s="88"/>
      <c r="B98" s="80" t="s">
        <v>140</v>
      </c>
      <c r="C98" s="89">
        <v>85417</v>
      </c>
      <c r="D98" s="90">
        <f t="shared" ref="D98:P98" si="32">SUM(D99:D100)</f>
        <v>41344</v>
      </c>
      <c r="E98" s="91">
        <f t="shared" si="32"/>
        <v>3000</v>
      </c>
      <c r="F98" s="92">
        <f t="shared" si="32"/>
        <v>3000</v>
      </c>
      <c r="G98" s="91">
        <f t="shared" si="32"/>
        <v>3000</v>
      </c>
      <c r="H98" s="92">
        <f t="shared" si="32"/>
        <v>0</v>
      </c>
      <c r="I98" s="91">
        <f t="shared" si="32"/>
        <v>0</v>
      </c>
      <c r="J98" s="92">
        <f t="shared" si="32"/>
        <v>0</v>
      </c>
      <c r="K98" s="91">
        <f t="shared" si="32"/>
        <v>7344</v>
      </c>
      <c r="L98" s="92">
        <f t="shared" si="32"/>
        <v>5000</v>
      </c>
      <c r="M98" s="91">
        <f t="shared" si="32"/>
        <v>5000</v>
      </c>
      <c r="N98" s="92">
        <f t="shared" si="32"/>
        <v>5000</v>
      </c>
      <c r="O98" s="91">
        <f t="shared" si="32"/>
        <v>5000</v>
      </c>
      <c r="P98" s="91">
        <f t="shared" si="32"/>
        <v>5000</v>
      </c>
      <c r="Q98" s="123">
        <f t="shared" si="27"/>
        <v>41344</v>
      </c>
      <c r="R98" s="123"/>
      <c r="S98" s="123"/>
    </row>
    <row r="99" spans="1:19">
      <c r="A99" s="88"/>
      <c r="B99" s="80" t="s">
        <v>141</v>
      </c>
      <c r="C99" s="89"/>
      <c r="D99" s="81">
        <v>38476</v>
      </c>
      <c r="E99" s="82">
        <v>3000</v>
      </c>
      <c r="F99" s="83">
        <v>3000</v>
      </c>
      <c r="G99" s="82">
        <v>3000</v>
      </c>
      <c r="H99" s="83"/>
      <c r="I99" s="82"/>
      <c r="J99" s="83"/>
      <c r="K99" s="82">
        <v>4476</v>
      </c>
      <c r="L99" s="83">
        <v>5000</v>
      </c>
      <c r="M99" s="82">
        <v>5000</v>
      </c>
      <c r="N99" s="83">
        <v>5000</v>
      </c>
      <c r="O99" s="82">
        <v>5000</v>
      </c>
      <c r="P99" s="82">
        <v>5000</v>
      </c>
      <c r="Q99" s="123">
        <f t="shared" si="27"/>
        <v>38476</v>
      </c>
      <c r="R99" s="123"/>
      <c r="S99" s="123"/>
    </row>
    <row r="100" spans="1:19">
      <c r="A100" s="88"/>
      <c r="B100" s="80" t="s">
        <v>114</v>
      </c>
      <c r="C100" s="89"/>
      <c r="D100" s="81">
        <v>2868</v>
      </c>
      <c r="E100" s="82"/>
      <c r="F100" s="83"/>
      <c r="G100" s="82"/>
      <c r="H100" s="83"/>
      <c r="I100" s="82"/>
      <c r="J100" s="83"/>
      <c r="K100" s="82">
        <v>2868</v>
      </c>
      <c r="L100" s="83"/>
      <c r="M100" s="82"/>
      <c r="N100" s="83"/>
      <c r="O100" s="82"/>
      <c r="P100" s="82"/>
      <c r="Q100" s="123">
        <f t="shared" si="27"/>
        <v>2868</v>
      </c>
      <c r="R100" s="123"/>
      <c r="S100" s="123"/>
    </row>
    <row r="101" spans="1:19" s="4" customFormat="1">
      <c r="A101" s="132">
        <v>855</v>
      </c>
      <c r="B101" s="97" t="s">
        <v>152</v>
      </c>
      <c r="C101" s="98"/>
      <c r="D101" s="133">
        <f>SUM(D102+D105)</f>
        <v>1275346</v>
      </c>
      <c r="E101" s="133">
        <f t="shared" ref="E101:P101" si="33">SUM(E102+E105)</f>
        <v>129334</v>
      </c>
      <c r="F101" s="133">
        <f t="shared" si="33"/>
        <v>95580</v>
      </c>
      <c r="G101" s="133">
        <f t="shared" si="33"/>
        <v>95637</v>
      </c>
      <c r="H101" s="133">
        <f t="shared" si="33"/>
        <v>105041</v>
      </c>
      <c r="I101" s="133">
        <f t="shared" si="33"/>
        <v>105364</v>
      </c>
      <c r="J101" s="133">
        <f t="shared" si="33"/>
        <v>105332</v>
      </c>
      <c r="K101" s="133">
        <f t="shared" si="33"/>
        <v>105499</v>
      </c>
      <c r="L101" s="133">
        <f t="shared" si="33"/>
        <v>105499</v>
      </c>
      <c r="M101" s="133">
        <f t="shared" si="33"/>
        <v>106499</v>
      </c>
      <c r="N101" s="133">
        <f t="shared" si="33"/>
        <v>106435</v>
      </c>
      <c r="O101" s="133">
        <f t="shared" si="33"/>
        <v>106964</v>
      </c>
      <c r="P101" s="133">
        <f t="shared" si="33"/>
        <v>108162</v>
      </c>
      <c r="Q101" s="123">
        <f t="shared" si="27"/>
        <v>1275346</v>
      </c>
      <c r="R101" s="123"/>
      <c r="S101" s="123"/>
    </row>
    <row r="102" spans="1:19" s="4" customFormat="1">
      <c r="A102" s="88"/>
      <c r="B102" s="80" t="s">
        <v>129</v>
      </c>
      <c r="C102" s="89">
        <v>85508</v>
      </c>
      <c r="D102" s="81">
        <f>SUM(D103:D104)</f>
        <v>785333</v>
      </c>
      <c r="E102" s="81">
        <f t="shared" ref="E102:P102" si="34">SUM(E103:E104)</f>
        <v>63751</v>
      </c>
      <c r="F102" s="81">
        <f t="shared" si="34"/>
        <v>63097</v>
      </c>
      <c r="G102" s="81">
        <f t="shared" si="34"/>
        <v>63154</v>
      </c>
      <c r="H102" s="81">
        <f t="shared" si="34"/>
        <v>65330</v>
      </c>
      <c r="I102" s="81">
        <f t="shared" si="34"/>
        <v>65653</v>
      </c>
      <c r="J102" s="81">
        <f t="shared" si="34"/>
        <v>65621</v>
      </c>
      <c r="K102" s="81">
        <f t="shared" si="34"/>
        <v>65788</v>
      </c>
      <c r="L102" s="81">
        <f t="shared" si="34"/>
        <v>65788</v>
      </c>
      <c r="M102" s="81">
        <f t="shared" si="34"/>
        <v>66788</v>
      </c>
      <c r="N102" s="81">
        <f t="shared" si="34"/>
        <v>66724</v>
      </c>
      <c r="O102" s="81">
        <f t="shared" si="34"/>
        <v>66221</v>
      </c>
      <c r="P102" s="81">
        <f t="shared" si="34"/>
        <v>67418</v>
      </c>
      <c r="Q102" s="123">
        <f t="shared" si="27"/>
        <v>785333</v>
      </c>
      <c r="R102" s="123"/>
      <c r="S102" s="123"/>
    </row>
    <row r="103" spans="1:19" s="4" customFormat="1">
      <c r="A103" s="88"/>
      <c r="B103" s="129" t="s">
        <v>155</v>
      </c>
      <c r="C103" s="89"/>
      <c r="D103" s="81">
        <v>346981</v>
      </c>
      <c r="E103" s="82">
        <v>25482</v>
      </c>
      <c r="F103" s="83">
        <v>25482</v>
      </c>
      <c r="G103" s="82">
        <v>25482</v>
      </c>
      <c r="H103" s="83">
        <v>28915</v>
      </c>
      <c r="I103" s="82">
        <v>29256</v>
      </c>
      <c r="J103" s="83">
        <v>29256</v>
      </c>
      <c r="K103" s="82">
        <v>30423</v>
      </c>
      <c r="L103" s="83">
        <v>30423</v>
      </c>
      <c r="M103" s="82">
        <v>30423</v>
      </c>
      <c r="N103" s="83">
        <v>30423</v>
      </c>
      <c r="O103" s="82">
        <v>30423</v>
      </c>
      <c r="P103" s="82">
        <v>30993</v>
      </c>
      <c r="Q103" s="123">
        <f t="shared" si="27"/>
        <v>346981</v>
      </c>
      <c r="R103" s="123"/>
      <c r="S103" s="123"/>
    </row>
    <row r="104" spans="1:19" s="4" customFormat="1">
      <c r="A104" s="88"/>
      <c r="B104" s="129" t="s">
        <v>156</v>
      </c>
      <c r="C104" s="89"/>
      <c r="D104" s="81">
        <v>438352</v>
      </c>
      <c r="E104" s="82">
        <v>38269</v>
      </c>
      <c r="F104" s="83">
        <v>37615</v>
      </c>
      <c r="G104" s="82">
        <v>37672</v>
      </c>
      <c r="H104" s="83">
        <v>36415</v>
      </c>
      <c r="I104" s="82">
        <v>36397</v>
      </c>
      <c r="J104" s="83">
        <v>36365</v>
      </c>
      <c r="K104" s="82">
        <v>35365</v>
      </c>
      <c r="L104" s="83">
        <v>35365</v>
      </c>
      <c r="M104" s="82">
        <v>36365</v>
      </c>
      <c r="N104" s="83">
        <v>36301</v>
      </c>
      <c r="O104" s="82">
        <v>35798</v>
      </c>
      <c r="P104" s="82">
        <v>36425</v>
      </c>
      <c r="Q104" s="123">
        <f t="shared" si="27"/>
        <v>438352</v>
      </c>
      <c r="R104" s="123"/>
      <c r="S104" s="123"/>
    </row>
    <row r="105" spans="1:19" s="4" customFormat="1">
      <c r="A105" s="88"/>
      <c r="B105" s="80" t="s">
        <v>153</v>
      </c>
      <c r="C105" s="89">
        <v>85510</v>
      </c>
      <c r="D105" s="135">
        <f>SUM(D106:D107)</f>
        <v>490013</v>
      </c>
      <c r="E105" s="135">
        <f t="shared" ref="E105:P105" si="35">SUM(E106:E107)</f>
        <v>65583</v>
      </c>
      <c r="F105" s="135">
        <f t="shared" si="35"/>
        <v>32483</v>
      </c>
      <c r="G105" s="135">
        <f t="shared" si="35"/>
        <v>32483</v>
      </c>
      <c r="H105" s="135">
        <f t="shared" si="35"/>
        <v>39711</v>
      </c>
      <c r="I105" s="135">
        <f t="shared" si="35"/>
        <v>39711</v>
      </c>
      <c r="J105" s="135">
        <f t="shared" si="35"/>
        <v>39711</v>
      </c>
      <c r="K105" s="135">
        <f t="shared" si="35"/>
        <v>39711</v>
      </c>
      <c r="L105" s="135">
        <f t="shared" si="35"/>
        <v>39711</v>
      </c>
      <c r="M105" s="135">
        <f t="shared" si="35"/>
        <v>39711</v>
      </c>
      <c r="N105" s="135">
        <f t="shared" si="35"/>
        <v>39711</v>
      </c>
      <c r="O105" s="135">
        <f t="shared" si="35"/>
        <v>40743</v>
      </c>
      <c r="P105" s="135">
        <f t="shared" si="35"/>
        <v>40744</v>
      </c>
      <c r="Q105" s="123">
        <f>SUM(E105:P105)</f>
        <v>490013</v>
      </c>
      <c r="R105" s="123"/>
      <c r="S105" s="123"/>
    </row>
    <row r="106" spans="1:19" s="4" customFormat="1">
      <c r="A106" s="88"/>
      <c r="B106" s="129" t="s">
        <v>154</v>
      </c>
      <c r="C106" s="89"/>
      <c r="D106" s="81">
        <v>456913</v>
      </c>
      <c r="E106" s="82">
        <v>32483</v>
      </c>
      <c r="F106" s="83">
        <v>32483</v>
      </c>
      <c r="G106" s="82">
        <v>32483</v>
      </c>
      <c r="H106" s="83">
        <v>39711</v>
      </c>
      <c r="I106" s="82">
        <v>39711</v>
      </c>
      <c r="J106" s="83">
        <v>39711</v>
      </c>
      <c r="K106" s="82">
        <v>39711</v>
      </c>
      <c r="L106" s="83">
        <v>39711</v>
      </c>
      <c r="M106" s="82">
        <v>39711</v>
      </c>
      <c r="N106" s="83">
        <v>39711</v>
      </c>
      <c r="O106" s="82">
        <v>40743</v>
      </c>
      <c r="P106" s="82">
        <v>40744</v>
      </c>
      <c r="Q106" s="123">
        <f t="shared" ref="Q106:Q108" si="36">SUM(E106:P106)</f>
        <v>456913</v>
      </c>
      <c r="R106" s="123"/>
      <c r="S106" s="123"/>
    </row>
    <row r="107" spans="1:19" s="4" customFormat="1">
      <c r="A107" s="88"/>
      <c r="B107" s="129" t="s">
        <v>255</v>
      </c>
      <c r="C107" s="89"/>
      <c r="D107" s="81">
        <v>33100</v>
      </c>
      <c r="E107" s="82">
        <v>33100</v>
      </c>
      <c r="F107" s="83"/>
      <c r="G107" s="82"/>
      <c r="H107" s="83"/>
      <c r="I107" s="82"/>
      <c r="J107" s="83"/>
      <c r="K107" s="82"/>
      <c r="L107" s="83"/>
      <c r="M107" s="82"/>
      <c r="N107" s="83"/>
      <c r="O107" s="82"/>
      <c r="P107" s="82"/>
      <c r="Q107" s="123"/>
      <c r="R107" s="123"/>
      <c r="S107" s="123"/>
    </row>
    <row r="108" spans="1:19">
      <c r="A108" s="87">
        <v>900</v>
      </c>
      <c r="B108" s="76" t="s">
        <v>142</v>
      </c>
      <c r="C108" s="77"/>
      <c r="D108" s="78">
        <f>SUM(D109)</f>
        <v>171000</v>
      </c>
      <c r="E108" s="78">
        <f t="shared" ref="E108:P108" si="37">SUM(E109)</f>
        <v>4664</v>
      </c>
      <c r="F108" s="79">
        <f t="shared" si="37"/>
        <v>4664</v>
      </c>
      <c r="G108" s="78">
        <f t="shared" si="37"/>
        <v>4664</v>
      </c>
      <c r="H108" s="79">
        <f t="shared" si="37"/>
        <v>119700</v>
      </c>
      <c r="I108" s="78">
        <f t="shared" si="37"/>
        <v>4664</v>
      </c>
      <c r="J108" s="79">
        <f t="shared" si="37"/>
        <v>4664</v>
      </c>
      <c r="K108" s="78">
        <f t="shared" si="37"/>
        <v>4664</v>
      </c>
      <c r="L108" s="79">
        <f t="shared" si="37"/>
        <v>4664</v>
      </c>
      <c r="M108" s="78">
        <f t="shared" si="37"/>
        <v>4664</v>
      </c>
      <c r="N108" s="79">
        <f t="shared" si="37"/>
        <v>4664</v>
      </c>
      <c r="O108" s="78">
        <f t="shared" si="37"/>
        <v>4664</v>
      </c>
      <c r="P108" s="78">
        <f t="shared" si="37"/>
        <v>4660</v>
      </c>
      <c r="Q108" s="123">
        <f t="shared" si="36"/>
        <v>171000</v>
      </c>
      <c r="R108" s="123"/>
      <c r="S108" s="123"/>
    </row>
    <row r="109" spans="1:19">
      <c r="A109" s="88"/>
      <c r="B109" s="80" t="s">
        <v>143</v>
      </c>
      <c r="C109" s="89">
        <v>90019</v>
      </c>
      <c r="D109" s="81">
        <v>171000</v>
      </c>
      <c r="E109" s="82">
        <v>4664</v>
      </c>
      <c r="F109" s="83">
        <v>4664</v>
      </c>
      <c r="G109" s="82">
        <v>4664</v>
      </c>
      <c r="H109" s="83">
        <v>119700</v>
      </c>
      <c r="I109" s="82">
        <v>4664</v>
      </c>
      <c r="J109" s="83">
        <v>4664</v>
      </c>
      <c r="K109" s="82">
        <v>4664</v>
      </c>
      <c r="L109" s="83">
        <v>4664</v>
      </c>
      <c r="M109" s="82">
        <v>4664</v>
      </c>
      <c r="N109" s="83">
        <v>4664</v>
      </c>
      <c r="O109" s="82">
        <v>4664</v>
      </c>
      <c r="P109" s="82">
        <v>4660</v>
      </c>
      <c r="Q109" s="123">
        <f t="shared" si="27"/>
        <v>171000</v>
      </c>
      <c r="R109" s="123"/>
      <c r="S109" s="123"/>
    </row>
    <row r="110" spans="1:19">
      <c r="A110" s="109"/>
      <c r="B110" s="110" t="s">
        <v>144</v>
      </c>
      <c r="C110" s="111"/>
      <c r="D110" s="112">
        <f>SUM(D108+D92+D85+D76+D72+D57+D52+D46+D41+D33+D27+D23+D19+D17+D15+D12+D44+D101+D39)</f>
        <v>72110775</v>
      </c>
      <c r="E110" s="112">
        <f t="shared" ref="E110:Q110" si="38">SUM(E108+E92+E85+E76+E72+E57+E52+E46+E41+E33+E27+E23+E19+E17+E15+E12+E44+E101+E39)</f>
        <v>8746389</v>
      </c>
      <c r="F110" s="112">
        <f t="shared" si="38"/>
        <v>8098334</v>
      </c>
      <c r="G110" s="112">
        <f t="shared" si="38"/>
        <v>5754212</v>
      </c>
      <c r="H110" s="112">
        <f t="shared" si="38"/>
        <v>5847558</v>
      </c>
      <c r="I110" s="112">
        <f t="shared" si="38"/>
        <v>5702330</v>
      </c>
      <c r="J110" s="112">
        <f t="shared" si="38"/>
        <v>5430356</v>
      </c>
      <c r="K110" s="112">
        <f t="shared" si="38"/>
        <v>5524860</v>
      </c>
      <c r="L110" s="112">
        <f t="shared" si="38"/>
        <v>5651050</v>
      </c>
      <c r="M110" s="112">
        <f t="shared" si="38"/>
        <v>5725868</v>
      </c>
      <c r="N110" s="112">
        <f t="shared" si="38"/>
        <v>5860599</v>
      </c>
      <c r="O110" s="112">
        <f t="shared" si="38"/>
        <v>5897469</v>
      </c>
      <c r="P110" s="112">
        <f t="shared" si="38"/>
        <v>3871750</v>
      </c>
      <c r="Q110" s="112">
        <f t="shared" si="38"/>
        <v>72106775</v>
      </c>
      <c r="R110" s="123"/>
      <c r="S110" s="123"/>
    </row>
    <row r="111" spans="1:19" hidden="1">
      <c r="A111" s="88"/>
      <c r="B111" s="113" t="s">
        <v>145</v>
      </c>
      <c r="C111" s="89"/>
      <c r="D111" s="114">
        <f t="shared" ref="D111:P111" si="39">SUM(D112:D112)</f>
        <v>5324845</v>
      </c>
      <c r="E111" s="115">
        <f t="shared" si="39"/>
        <v>0</v>
      </c>
      <c r="F111" s="116">
        <f t="shared" si="39"/>
        <v>0</v>
      </c>
      <c r="G111" s="115">
        <f t="shared" si="39"/>
        <v>0</v>
      </c>
      <c r="H111" s="116">
        <f t="shared" si="39"/>
        <v>0</v>
      </c>
      <c r="I111" s="115">
        <f t="shared" si="39"/>
        <v>0</v>
      </c>
      <c r="J111" s="116">
        <f t="shared" si="39"/>
        <v>0</v>
      </c>
      <c r="K111" s="115">
        <f t="shared" si="39"/>
        <v>0</v>
      </c>
      <c r="L111" s="116">
        <f t="shared" si="39"/>
        <v>0</v>
      </c>
      <c r="M111" s="115">
        <f t="shared" si="39"/>
        <v>1774948</v>
      </c>
      <c r="N111" s="116">
        <f t="shared" si="39"/>
        <v>1774948</v>
      </c>
      <c r="O111" s="115">
        <f t="shared" si="39"/>
        <v>1774949</v>
      </c>
      <c r="P111" s="115">
        <f t="shared" si="39"/>
        <v>0</v>
      </c>
      <c r="Q111" s="123">
        <f t="shared" si="27"/>
        <v>5324845</v>
      </c>
    </row>
    <row r="112" spans="1:19" hidden="1">
      <c r="A112" s="88"/>
      <c r="B112" s="80" t="s">
        <v>146</v>
      </c>
      <c r="C112" s="117">
        <v>952</v>
      </c>
      <c r="D112" s="90">
        <v>5324845</v>
      </c>
      <c r="E112" s="91"/>
      <c r="F112" s="92"/>
      <c r="G112" s="91"/>
      <c r="H112" s="92"/>
      <c r="I112" s="91"/>
      <c r="J112" s="92"/>
      <c r="K112" s="91"/>
      <c r="L112" s="92"/>
      <c r="M112" s="91">
        <v>1774948</v>
      </c>
      <c r="N112" s="92">
        <v>1774948</v>
      </c>
      <c r="O112" s="91">
        <v>1774949</v>
      </c>
      <c r="P112" s="91"/>
      <c r="Q112" s="123">
        <f t="shared" si="27"/>
        <v>5324845</v>
      </c>
    </row>
    <row r="113" spans="1:17" ht="15.75" hidden="1" thickBot="1">
      <c r="A113" s="118"/>
      <c r="B113" s="119" t="s">
        <v>147</v>
      </c>
      <c r="C113" s="120"/>
      <c r="D113" s="121">
        <f t="shared" ref="D113:P113" si="40">SUM(D110,D111)</f>
        <v>77435620</v>
      </c>
      <c r="E113" s="121">
        <f t="shared" si="40"/>
        <v>8746389</v>
      </c>
      <c r="F113" s="122">
        <f t="shared" si="40"/>
        <v>8098334</v>
      </c>
      <c r="G113" s="121">
        <f t="shared" si="40"/>
        <v>5754212</v>
      </c>
      <c r="H113" s="122">
        <f t="shared" si="40"/>
        <v>5847558</v>
      </c>
      <c r="I113" s="121">
        <f t="shared" si="40"/>
        <v>5702330</v>
      </c>
      <c r="J113" s="122">
        <f t="shared" si="40"/>
        <v>5430356</v>
      </c>
      <c r="K113" s="121">
        <f t="shared" si="40"/>
        <v>5524860</v>
      </c>
      <c r="L113" s="122">
        <f t="shared" si="40"/>
        <v>5651050</v>
      </c>
      <c r="M113" s="121">
        <f t="shared" si="40"/>
        <v>7500816</v>
      </c>
      <c r="N113" s="122">
        <f t="shared" si="40"/>
        <v>7635547</v>
      </c>
      <c r="O113" s="121">
        <f t="shared" si="40"/>
        <v>7672418</v>
      </c>
      <c r="P113" s="121">
        <f t="shared" si="40"/>
        <v>3871750</v>
      </c>
      <c r="Q113" s="123">
        <f t="shared" si="27"/>
        <v>77435620</v>
      </c>
    </row>
  </sheetData>
  <mergeCells count="18">
    <mergeCell ref="I8:I10"/>
    <mergeCell ref="J8:J10"/>
    <mergeCell ref="K8:K10"/>
    <mergeCell ref="L8:L10"/>
    <mergeCell ref="F8:F10"/>
    <mergeCell ref="A6:P6"/>
    <mergeCell ref="A7:P7"/>
    <mergeCell ref="A8:A10"/>
    <mergeCell ref="B8:B10"/>
    <mergeCell ref="C8:C10"/>
    <mergeCell ref="D8:D10"/>
    <mergeCell ref="E8:E10"/>
    <mergeCell ref="M8:M10"/>
    <mergeCell ref="N8:N10"/>
    <mergeCell ref="O8:O10"/>
    <mergeCell ref="P8:P10"/>
    <mergeCell ref="G8:G10"/>
    <mergeCell ref="H8:H10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0"/>
  <sheetViews>
    <sheetView topLeftCell="A164" workbookViewId="0">
      <selection activeCell="R12" sqref="R12:S157"/>
    </sheetView>
  </sheetViews>
  <sheetFormatPr defaultRowHeight="15"/>
  <cols>
    <col min="1" max="1" width="5.42578125" style="174" customWidth="1"/>
    <col min="2" max="2" width="26" style="174" customWidth="1"/>
    <col min="3" max="3" width="9.140625" style="174"/>
    <col min="17" max="17" width="10.7109375" hidden="1" customWidth="1"/>
    <col min="18" max="18" width="11" customWidth="1"/>
  </cols>
  <sheetData>
    <row r="1" spans="1:18">
      <c r="A1" s="153"/>
      <c r="B1" s="153"/>
      <c r="C1" s="153"/>
      <c r="D1" s="4"/>
      <c r="E1" s="4"/>
      <c r="F1" s="4"/>
      <c r="G1" s="4"/>
      <c r="H1" s="4"/>
      <c r="I1" s="4"/>
      <c r="J1" s="4"/>
      <c r="K1" s="4"/>
      <c r="L1" s="6" t="s">
        <v>196</v>
      </c>
      <c r="M1" s="4"/>
      <c r="N1" s="136"/>
      <c r="O1" s="136"/>
      <c r="P1" s="136"/>
    </row>
    <row r="2" spans="1:18">
      <c r="A2" s="153"/>
      <c r="B2" s="153"/>
      <c r="C2" s="153"/>
      <c r="D2" s="4"/>
      <c r="E2" s="4"/>
      <c r="F2" s="4"/>
      <c r="G2" s="4"/>
      <c r="H2" s="4"/>
      <c r="I2" s="4"/>
      <c r="J2" s="4"/>
      <c r="K2" s="4"/>
      <c r="L2" s="5" t="s">
        <v>299</v>
      </c>
      <c r="M2" s="4"/>
      <c r="N2" s="137"/>
      <c r="O2" s="137"/>
      <c r="P2" s="137"/>
    </row>
    <row r="3" spans="1:18">
      <c r="A3" s="153"/>
      <c r="B3" s="153"/>
      <c r="C3" s="153"/>
      <c r="D3" s="4"/>
      <c r="E3" s="4"/>
      <c r="F3" s="4"/>
      <c r="G3" s="4"/>
      <c r="H3" s="4"/>
      <c r="I3" s="4"/>
      <c r="J3" s="4"/>
      <c r="K3" s="4"/>
      <c r="L3" s="5" t="s">
        <v>0</v>
      </c>
      <c r="M3" s="4"/>
      <c r="N3" s="137"/>
      <c r="O3" s="137"/>
      <c r="P3" s="137"/>
    </row>
    <row r="4" spans="1:18">
      <c r="A4" s="153"/>
      <c r="B4" s="153"/>
      <c r="C4" s="153"/>
      <c r="D4" s="4"/>
      <c r="E4" s="4"/>
      <c r="F4" s="4"/>
      <c r="G4" s="4"/>
      <c r="H4" s="4"/>
      <c r="I4" s="4"/>
      <c r="J4" s="4"/>
      <c r="K4" s="4"/>
      <c r="L4" s="5" t="s">
        <v>300</v>
      </c>
      <c r="M4" s="4"/>
      <c r="N4" s="138"/>
      <c r="O4" s="138"/>
      <c r="P4" s="138"/>
    </row>
    <row r="5" spans="1:18">
      <c r="A5" s="153"/>
      <c r="B5" s="153"/>
      <c r="C5" s="153"/>
      <c r="D5" s="4"/>
      <c r="E5" s="4"/>
      <c r="F5" s="4"/>
      <c r="G5" s="4"/>
      <c r="H5" s="4"/>
      <c r="I5" s="4"/>
      <c r="J5" s="4"/>
      <c r="K5" s="4"/>
      <c r="L5" s="4"/>
      <c r="M5" s="139"/>
      <c r="N5" s="139"/>
      <c r="O5" s="139"/>
      <c r="P5" s="139"/>
    </row>
    <row r="6" spans="1:18">
      <c r="A6" s="333" t="s">
        <v>256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18" ht="15.75" thickBot="1">
      <c r="A7" s="334" t="s">
        <v>157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</row>
    <row r="8" spans="1:18" ht="15" customHeight="1">
      <c r="A8" s="335" t="s">
        <v>53</v>
      </c>
      <c r="B8" s="335" t="s">
        <v>54</v>
      </c>
      <c r="C8" s="335" t="s">
        <v>55</v>
      </c>
      <c r="D8" s="338" t="s">
        <v>257</v>
      </c>
      <c r="E8" s="341" t="s">
        <v>56</v>
      </c>
      <c r="F8" s="341" t="s">
        <v>57</v>
      </c>
      <c r="G8" s="341" t="s">
        <v>58</v>
      </c>
      <c r="H8" s="341" t="s">
        <v>59</v>
      </c>
      <c r="I8" s="341" t="s">
        <v>60</v>
      </c>
      <c r="J8" s="341" t="s">
        <v>61</v>
      </c>
      <c r="K8" s="341" t="s">
        <v>62</v>
      </c>
      <c r="L8" s="341" t="s">
        <v>63</v>
      </c>
      <c r="M8" s="341" t="s">
        <v>64</v>
      </c>
      <c r="N8" s="341" t="s">
        <v>65</v>
      </c>
      <c r="O8" s="341" t="s">
        <v>66</v>
      </c>
      <c r="P8" s="341" t="s">
        <v>67</v>
      </c>
    </row>
    <row r="9" spans="1:18">
      <c r="A9" s="336"/>
      <c r="B9" s="336"/>
      <c r="C9" s="336"/>
      <c r="D9" s="339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</row>
    <row r="10" spans="1:18" ht="15.75" thickBot="1">
      <c r="A10" s="337"/>
      <c r="B10" s="337"/>
      <c r="C10" s="337"/>
      <c r="D10" s="340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</row>
    <row r="11" spans="1:18" ht="15.75" thickBot="1">
      <c r="A11" s="154">
        <v>1</v>
      </c>
      <c r="B11" s="155">
        <v>2</v>
      </c>
      <c r="C11" s="156">
        <v>3</v>
      </c>
      <c r="D11" s="140">
        <v>4</v>
      </c>
      <c r="E11" s="141">
        <v>5</v>
      </c>
      <c r="F11" s="142">
        <v>6</v>
      </c>
      <c r="G11" s="141">
        <v>7</v>
      </c>
      <c r="H11" s="142">
        <v>8</v>
      </c>
      <c r="I11" s="141">
        <v>9</v>
      </c>
      <c r="J11" s="142">
        <v>10</v>
      </c>
      <c r="K11" s="141">
        <v>11</v>
      </c>
      <c r="L11" s="142">
        <v>12</v>
      </c>
      <c r="M11" s="141">
        <v>13</v>
      </c>
      <c r="N11" s="142">
        <v>14</v>
      </c>
      <c r="O11" s="141">
        <v>15</v>
      </c>
      <c r="P11" s="141">
        <v>16</v>
      </c>
    </row>
    <row r="12" spans="1:18">
      <c r="A12" s="157" t="s">
        <v>68</v>
      </c>
      <c r="B12" s="158" t="s">
        <v>69</v>
      </c>
      <c r="C12" s="159"/>
      <c r="D12" s="143">
        <f>SUM(D13:D14)</f>
        <v>81282</v>
      </c>
      <c r="E12" s="143">
        <f t="shared" ref="E12" si="0">SUM(E13:E14)</f>
        <v>0</v>
      </c>
      <c r="F12" s="143">
        <f t="shared" ref="F12:P12" si="1">SUM(F13:F14)</f>
        <v>2500</v>
      </c>
      <c r="G12" s="143">
        <f t="shared" si="1"/>
        <v>0</v>
      </c>
      <c r="H12" s="143">
        <f t="shared" si="1"/>
        <v>0</v>
      </c>
      <c r="I12" s="281">
        <f t="shared" si="1"/>
        <v>2600</v>
      </c>
      <c r="J12" s="143">
        <f t="shared" si="1"/>
        <v>6000</v>
      </c>
      <c r="K12" s="281">
        <f t="shared" si="1"/>
        <v>0</v>
      </c>
      <c r="L12" s="143">
        <f t="shared" si="1"/>
        <v>2600</v>
      </c>
      <c r="M12" s="281">
        <f t="shared" si="1"/>
        <v>0</v>
      </c>
      <c r="N12" s="143">
        <f t="shared" si="1"/>
        <v>0</v>
      </c>
      <c r="O12" s="281">
        <f t="shared" si="1"/>
        <v>67582</v>
      </c>
      <c r="P12" s="143">
        <f t="shared" si="1"/>
        <v>0</v>
      </c>
      <c r="Q12" s="123">
        <f>SUM(E12:P12)</f>
        <v>81282</v>
      </c>
      <c r="R12" s="123"/>
    </row>
    <row r="13" spans="1:18" s="183" customFormat="1">
      <c r="A13" s="188"/>
      <c r="B13" s="189" t="s">
        <v>197</v>
      </c>
      <c r="C13" s="190" t="s">
        <v>150</v>
      </c>
      <c r="D13" s="127">
        <v>64982</v>
      </c>
      <c r="E13" s="127"/>
      <c r="F13" s="128"/>
      <c r="G13" s="127"/>
      <c r="H13" s="127"/>
      <c r="I13" s="128"/>
      <c r="J13" s="127"/>
      <c r="K13" s="128"/>
      <c r="L13" s="127"/>
      <c r="M13" s="128"/>
      <c r="N13" s="127"/>
      <c r="O13" s="128">
        <v>64982</v>
      </c>
      <c r="P13" s="127"/>
      <c r="Q13" s="182">
        <f t="shared" ref="Q13:Q86" si="2">SUM(E13:P13)</f>
        <v>64982</v>
      </c>
      <c r="R13" s="123"/>
    </row>
    <row r="14" spans="1:18" s="183" customFormat="1">
      <c r="A14" s="191"/>
      <c r="B14" s="192" t="s">
        <v>70</v>
      </c>
      <c r="C14" s="193" t="s">
        <v>71</v>
      </c>
      <c r="D14" s="194">
        <v>16300</v>
      </c>
      <c r="E14" s="195"/>
      <c r="F14" s="196">
        <v>2500</v>
      </c>
      <c r="G14" s="195"/>
      <c r="H14" s="195"/>
      <c r="I14" s="196">
        <v>2600</v>
      </c>
      <c r="J14" s="195">
        <v>6000</v>
      </c>
      <c r="K14" s="196"/>
      <c r="L14" s="195">
        <v>2600</v>
      </c>
      <c r="M14" s="196"/>
      <c r="N14" s="195"/>
      <c r="O14" s="196">
        <v>2600</v>
      </c>
      <c r="P14" s="195"/>
      <c r="Q14" s="182">
        <f t="shared" si="2"/>
        <v>16300</v>
      </c>
      <c r="R14" s="123"/>
    </row>
    <row r="15" spans="1:18">
      <c r="A15" s="160" t="s">
        <v>72</v>
      </c>
      <c r="B15" s="161" t="s">
        <v>73</v>
      </c>
      <c r="C15" s="162"/>
      <c r="D15" s="78">
        <f>SUM(D16:D18)</f>
        <v>373000</v>
      </c>
      <c r="E15" s="78">
        <f t="shared" ref="E15:P15" si="3">SUM(E16:E18)</f>
        <v>20000</v>
      </c>
      <c r="F15" s="78">
        <f t="shared" si="3"/>
        <v>20000</v>
      </c>
      <c r="G15" s="78">
        <f t="shared" si="3"/>
        <v>20000</v>
      </c>
      <c r="H15" s="78">
        <f t="shared" si="3"/>
        <v>40000</v>
      </c>
      <c r="I15" s="78">
        <f t="shared" si="3"/>
        <v>20750</v>
      </c>
      <c r="J15" s="78">
        <f t="shared" si="3"/>
        <v>20750</v>
      </c>
      <c r="K15" s="78">
        <f t="shared" si="3"/>
        <v>33750</v>
      </c>
      <c r="L15" s="78">
        <f t="shared" si="3"/>
        <v>20750</v>
      </c>
      <c r="M15" s="78">
        <f t="shared" si="3"/>
        <v>20750</v>
      </c>
      <c r="N15" s="78">
        <f t="shared" si="3"/>
        <v>36750</v>
      </c>
      <c r="O15" s="78">
        <f t="shared" si="3"/>
        <v>85750</v>
      </c>
      <c r="P15" s="78">
        <f t="shared" si="3"/>
        <v>33750</v>
      </c>
      <c r="Q15" s="123">
        <f t="shared" si="2"/>
        <v>373000</v>
      </c>
      <c r="R15" s="123"/>
    </row>
    <row r="16" spans="1:18" s="183" customFormat="1">
      <c r="A16" s="197"/>
      <c r="B16" s="198" t="s">
        <v>158</v>
      </c>
      <c r="C16" s="199" t="s">
        <v>159</v>
      </c>
      <c r="D16" s="90">
        <v>3000</v>
      </c>
      <c r="E16" s="90"/>
      <c r="F16" s="186"/>
      <c r="G16" s="90"/>
      <c r="H16" s="90"/>
      <c r="I16" s="186"/>
      <c r="J16" s="90"/>
      <c r="K16" s="186"/>
      <c r="L16" s="90"/>
      <c r="M16" s="186"/>
      <c r="N16" s="90">
        <v>3000</v>
      </c>
      <c r="O16" s="186"/>
      <c r="P16" s="90"/>
      <c r="Q16" s="182">
        <f t="shared" si="2"/>
        <v>3000</v>
      </c>
      <c r="R16" s="123"/>
    </row>
    <row r="17" spans="1:18" s="183" customFormat="1">
      <c r="A17" s="197"/>
      <c r="B17" s="198" t="s">
        <v>160</v>
      </c>
      <c r="C17" s="199" t="s">
        <v>161</v>
      </c>
      <c r="D17" s="90">
        <v>52000</v>
      </c>
      <c r="E17" s="90"/>
      <c r="F17" s="186"/>
      <c r="G17" s="90"/>
      <c r="H17" s="90">
        <v>13000</v>
      </c>
      <c r="I17" s="186"/>
      <c r="J17" s="90"/>
      <c r="K17" s="186">
        <v>13000</v>
      </c>
      <c r="L17" s="90"/>
      <c r="M17" s="186"/>
      <c r="N17" s="90">
        <v>13000</v>
      </c>
      <c r="O17" s="186"/>
      <c r="P17" s="90">
        <v>13000</v>
      </c>
      <c r="Q17" s="182">
        <f t="shared" si="2"/>
        <v>52000</v>
      </c>
      <c r="R17" s="123"/>
    </row>
    <row r="18" spans="1:18" s="183" customFormat="1">
      <c r="A18" s="200"/>
      <c r="B18" s="201" t="s">
        <v>70</v>
      </c>
      <c r="C18" s="193" t="s">
        <v>74</v>
      </c>
      <c r="D18" s="194">
        <v>318000</v>
      </c>
      <c r="E18" s="194">
        <v>20000</v>
      </c>
      <c r="F18" s="202">
        <v>20000</v>
      </c>
      <c r="G18" s="194">
        <v>20000</v>
      </c>
      <c r="H18" s="194">
        <v>27000</v>
      </c>
      <c r="I18" s="202">
        <v>20750</v>
      </c>
      <c r="J18" s="194">
        <v>20750</v>
      </c>
      <c r="K18" s="202">
        <v>20750</v>
      </c>
      <c r="L18" s="194">
        <v>20750</v>
      </c>
      <c r="M18" s="202">
        <v>20750</v>
      </c>
      <c r="N18" s="194">
        <v>20750</v>
      </c>
      <c r="O18" s="202">
        <f>20750+65000</f>
        <v>85750</v>
      </c>
      <c r="P18" s="194">
        <v>20750</v>
      </c>
      <c r="Q18" s="182">
        <f t="shared" si="2"/>
        <v>318000</v>
      </c>
      <c r="R18" s="123"/>
    </row>
    <row r="19" spans="1:18">
      <c r="A19" s="164">
        <v>600</v>
      </c>
      <c r="B19" s="161" t="s">
        <v>78</v>
      </c>
      <c r="C19" s="162"/>
      <c r="D19" s="78">
        <f>SUM(D20+D23)</f>
        <v>3386120</v>
      </c>
      <c r="E19" s="78">
        <f t="shared" ref="E19" si="4">SUM(E20+E23)</f>
        <v>273745</v>
      </c>
      <c r="F19" s="79">
        <f t="shared" ref="F19:P19" si="5">SUM(F20+F23)</f>
        <v>289670</v>
      </c>
      <c r="G19" s="78">
        <f t="shared" si="5"/>
        <v>406654</v>
      </c>
      <c r="H19" s="78">
        <f t="shared" si="5"/>
        <v>303746</v>
      </c>
      <c r="I19" s="79">
        <f t="shared" si="5"/>
        <v>303746</v>
      </c>
      <c r="J19" s="78">
        <f t="shared" si="5"/>
        <v>273746</v>
      </c>
      <c r="K19" s="79">
        <f t="shared" si="5"/>
        <v>273746</v>
      </c>
      <c r="L19" s="78">
        <f t="shared" si="5"/>
        <v>253746</v>
      </c>
      <c r="M19" s="79">
        <f t="shared" si="5"/>
        <v>253746</v>
      </c>
      <c r="N19" s="78">
        <f t="shared" si="5"/>
        <v>253746</v>
      </c>
      <c r="O19" s="79">
        <f t="shared" si="5"/>
        <v>253746</v>
      </c>
      <c r="P19" s="78">
        <f t="shared" si="5"/>
        <v>246083</v>
      </c>
      <c r="Q19" s="123">
        <f t="shared" si="2"/>
        <v>3386120</v>
      </c>
      <c r="R19" s="123"/>
    </row>
    <row r="20" spans="1:18">
      <c r="A20" s="165"/>
      <c r="B20" s="163" t="s">
        <v>162</v>
      </c>
      <c r="C20" s="166">
        <v>60014</v>
      </c>
      <c r="D20" s="144">
        <f>SUM(D21:D22)</f>
        <v>2600770</v>
      </c>
      <c r="E20" s="144">
        <f t="shared" ref="E20:P20" si="6">SUM(E21:E22)</f>
        <v>208300</v>
      </c>
      <c r="F20" s="144">
        <f t="shared" si="6"/>
        <v>224225</v>
      </c>
      <c r="G20" s="144">
        <f t="shared" si="6"/>
        <v>341208</v>
      </c>
      <c r="H20" s="144">
        <f t="shared" si="6"/>
        <v>238300</v>
      </c>
      <c r="I20" s="144">
        <f t="shared" si="6"/>
        <v>238300</v>
      </c>
      <c r="J20" s="144">
        <f t="shared" si="6"/>
        <v>208300</v>
      </c>
      <c r="K20" s="144">
        <f t="shared" si="6"/>
        <v>208300</v>
      </c>
      <c r="L20" s="144">
        <f t="shared" si="6"/>
        <v>188300</v>
      </c>
      <c r="M20" s="144">
        <f t="shared" si="6"/>
        <v>188300</v>
      </c>
      <c r="N20" s="144">
        <f t="shared" si="6"/>
        <v>188300</v>
      </c>
      <c r="O20" s="144">
        <f t="shared" si="6"/>
        <v>188300</v>
      </c>
      <c r="P20" s="144">
        <f t="shared" si="6"/>
        <v>180637</v>
      </c>
      <c r="Q20" s="123">
        <f t="shared" si="2"/>
        <v>2600770</v>
      </c>
      <c r="R20" s="123"/>
    </row>
    <row r="21" spans="1:18" s="231" customFormat="1">
      <c r="A21" s="165"/>
      <c r="B21" s="297" t="s">
        <v>199</v>
      </c>
      <c r="C21" s="166"/>
      <c r="D21" s="144">
        <v>2580770</v>
      </c>
      <c r="E21" s="144">
        <v>188300</v>
      </c>
      <c r="F21" s="298">
        <v>224225</v>
      </c>
      <c r="G21" s="144">
        <v>341208</v>
      </c>
      <c r="H21" s="144">
        <v>238300</v>
      </c>
      <c r="I21" s="298">
        <v>238300</v>
      </c>
      <c r="J21" s="144">
        <v>208300</v>
      </c>
      <c r="K21" s="298">
        <v>208300</v>
      </c>
      <c r="L21" s="144">
        <v>188300</v>
      </c>
      <c r="M21" s="298">
        <v>188300</v>
      </c>
      <c r="N21" s="144">
        <v>188300</v>
      </c>
      <c r="O21" s="298">
        <v>188300</v>
      </c>
      <c r="P21" s="144">
        <v>180637</v>
      </c>
      <c r="Q21" s="180">
        <f t="shared" si="2"/>
        <v>2580770</v>
      </c>
      <c r="R21" s="180"/>
    </row>
    <row r="22" spans="1:18" s="183" customFormat="1">
      <c r="A22" s="203"/>
      <c r="B22" s="204" t="s">
        <v>198</v>
      </c>
      <c r="C22" s="205"/>
      <c r="D22" s="194">
        <v>20000</v>
      </c>
      <c r="E22" s="194">
        <v>20000</v>
      </c>
      <c r="F22" s="202"/>
      <c r="G22" s="194"/>
      <c r="H22" s="194"/>
      <c r="I22" s="202"/>
      <c r="J22" s="194"/>
      <c r="K22" s="202"/>
      <c r="L22" s="194"/>
      <c r="M22" s="202"/>
      <c r="N22" s="194"/>
      <c r="O22" s="202"/>
      <c r="P22" s="194"/>
      <c r="Q22" s="182">
        <f t="shared" si="2"/>
        <v>20000</v>
      </c>
      <c r="R22" s="123"/>
    </row>
    <row r="23" spans="1:18">
      <c r="A23" s="165"/>
      <c r="B23" s="163" t="s">
        <v>70</v>
      </c>
      <c r="C23" s="166">
        <v>60095</v>
      </c>
      <c r="D23" s="91">
        <v>785350</v>
      </c>
      <c r="E23" s="82">
        <v>65445</v>
      </c>
      <c r="F23" s="83">
        <v>65445</v>
      </c>
      <c r="G23" s="82">
        <v>65446</v>
      </c>
      <c r="H23" s="82">
        <v>65446</v>
      </c>
      <c r="I23" s="83">
        <v>65446</v>
      </c>
      <c r="J23" s="82">
        <v>65446</v>
      </c>
      <c r="K23" s="83">
        <v>65446</v>
      </c>
      <c r="L23" s="82">
        <v>65446</v>
      </c>
      <c r="M23" s="83">
        <v>65446</v>
      </c>
      <c r="N23" s="82">
        <v>65446</v>
      </c>
      <c r="O23" s="83">
        <v>65446</v>
      </c>
      <c r="P23" s="82">
        <v>65446</v>
      </c>
      <c r="Q23" s="123">
        <f t="shared" si="2"/>
        <v>785350</v>
      </c>
      <c r="R23" s="123"/>
    </row>
    <row r="24" spans="1:18">
      <c r="A24" s="164">
        <v>630</v>
      </c>
      <c r="B24" s="161" t="s">
        <v>163</v>
      </c>
      <c r="C24" s="162"/>
      <c r="D24" s="78">
        <f t="shared" ref="D24:P24" si="7">SUM(D25:D25)</f>
        <v>10000</v>
      </c>
      <c r="E24" s="78">
        <f t="shared" si="7"/>
        <v>0</v>
      </c>
      <c r="F24" s="78">
        <f t="shared" si="7"/>
        <v>0</v>
      </c>
      <c r="G24" s="78">
        <f t="shared" si="7"/>
        <v>4000</v>
      </c>
      <c r="H24" s="78">
        <f t="shared" si="7"/>
        <v>0</v>
      </c>
      <c r="I24" s="79">
        <f t="shared" si="7"/>
        <v>4000</v>
      </c>
      <c r="J24" s="78">
        <f t="shared" si="7"/>
        <v>0</v>
      </c>
      <c r="K24" s="79">
        <f t="shared" si="7"/>
        <v>0</v>
      </c>
      <c r="L24" s="78">
        <f t="shared" si="7"/>
        <v>0</v>
      </c>
      <c r="M24" s="79">
        <f t="shared" si="7"/>
        <v>2000</v>
      </c>
      <c r="N24" s="78">
        <f t="shared" si="7"/>
        <v>0</v>
      </c>
      <c r="O24" s="79">
        <f t="shared" si="7"/>
        <v>0</v>
      </c>
      <c r="P24" s="78">
        <f t="shared" si="7"/>
        <v>0</v>
      </c>
      <c r="Q24" s="123">
        <f t="shared" si="2"/>
        <v>10000</v>
      </c>
      <c r="R24" s="123"/>
    </row>
    <row r="25" spans="1:18" s="183" customFormat="1">
      <c r="A25" s="200"/>
      <c r="B25" s="201" t="s">
        <v>70</v>
      </c>
      <c r="C25" s="205">
        <v>63095</v>
      </c>
      <c r="D25" s="96">
        <v>10000</v>
      </c>
      <c r="E25" s="96"/>
      <c r="F25" s="186"/>
      <c r="G25" s="96">
        <v>4000</v>
      </c>
      <c r="H25" s="96"/>
      <c r="I25" s="206">
        <v>4000</v>
      </c>
      <c r="J25" s="96"/>
      <c r="K25" s="206"/>
      <c r="L25" s="96"/>
      <c r="M25" s="206">
        <v>2000</v>
      </c>
      <c r="N25" s="96"/>
      <c r="O25" s="206"/>
      <c r="P25" s="96"/>
      <c r="Q25" s="182">
        <f t="shared" si="2"/>
        <v>10000</v>
      </c>
      <c r="R25" s="123"/>
    </row>
    <row r="26" spans="1:18">
      <c r="A26" s="164">
        <v>700</v>
      </c>
      <c r="B26" s="161" t="s">
        <v>80</v>
      </c>
      <c r="C26" s="162"/>
      <c r="D26" s="78">
        <f>SUM(D27:D28)</f>
        <v>209960</v>
      </c>
      <c r="E26" s="78">
        <f t="shared" ref="E26:P26" si="8">SUM(E27:E28)</f>
        <v>8511</v>
      </c>
      <c r="F26" s="78">
        <f t="shared" si="8"/>
        <v>41731</v>
      </c>
      <c r="G26" s="78">
        <f t="shared" si="8"/>
        <v>14501</v>
      </c>
      <c r="H26" s="78">
        <f t="shared" si="8"/>
        <v>58611</v>
      </c>
      <c r="I26" s="78">
        <f t="shared" si="8"/>
        <v>9312</v>
      </c>
      <c r="J26" s="78">
        <f t="shared" si="8"/>
        <v>17112</v>
      </c>
      <c r="K26" s="78">
        <f t="shared" si="8"/>
        <v>9612</v>
      </c>
      <c r="L26" s="78">
        <f t="shared" si="8"/>
        <v>8612</v>
      </c>
      <c r="M26" s="78">
        <f t="shared" si="8"/>
        <v>13512</v>
      </c>
      <c r="N26" s="78">
        <f t="shared" si="8"/>
        <v>11813</v>
      </c>
      <c r="O26" s="78">
        <f t="shared" si="8"/>
        <v>9013</v>
      </c>
      <c r="P26" s="78">
        <f t="shared" si="8"/>
        <v>7620</v>
      </c>
      <c r="Q26" s="123">
        <f t="shared" si="2"/>
        <v>209960</v>
      </c>
      <c r="R26" s="123"/>
    </row>
    <row r="27" spans="1:18" s="183" customFormat="1">
      <c r="A27" s="200"/>
      <c r="B27" s="204" t="s">
        <v>156</v>
      </c>
      <c r="C27" s="205">
        <v>70005</v>
      </c>
      <c r="D27" s="194">
        <v>129960</v>
      </c>
      <c r="E27" s="194">
        <v>8511</v>
      </c>
      <c r="F27" s="202">
        <v>18731</v>
      </c>
      <c r="G27" s="194">
        <v>12001</v>
      </c>
      <c r="H27" s="194">
        <v>8511</v>
      </c>
      <c r="I27" s="202">
        <v>9012</v>
      </c>
      <c r="J27" s="194">
        <v>16012</v>
      </c>
      <c r="K27" s="202">
        <v>8512</v>
      </c>
      <c r="L27" s="194">
        <v>8512</v>
      </c>
      <c r="M27" s="202">
        <v>13012</v>
      </c>
      <c r="N27" s="194">
        <v>11513</v>
      </c>
      <c r="O27" s="202">
        <v>8013</v>
      </c>
      <c r="P27" s="194">
        <v>7620</v>
      </c>
      <c r="Q27" s="182">
        <f t="shared" si="2"/>
        <v>129960</v>
      </c>
      <c r="R27" s="123"/>
    </row>
    <row r="28" spans="1:18" s="185" customFormat="1">
      <c r="A28" s="200"/>
      <c r="B28" s="204" t="s">
        <v>155</v>
      </c>
      <c r="C28" s="205">
        <v>70005</v>
      </c>
      <c r="D28" s="194">
        <v>80000</v>
      </c>
      <c r="E28" s="194"/>
      <c r="F28" s="202">
        <v>23000</v>
      </c>
      <c r="G28" s="194">
        <v>2500</v>
      </c>
      <c r="H28" s="194">
        <f>100+50000</f>
        <v>50100</v>
      </c>
      <c r="I28" s="202">
        <v>300</v>
      </c>
      <c r="J28" s="194">
        <v>1100</v>
      </c>
      <c r="K28" s="202">
        <v>1100</v>
      </c>
      <c r="L28" s="194">
        <v>100</v>
      </c>
      <c r="M28" s="202">
        <v>500</v>
      </c>
      <c r="N28" s="194">
        <v>300</v>
      </c>
      <c r="O28" s="202">
        <v>1000</v>
      </c>
      <c r="P28" s="194"/>
      <c r="Q28" s="184">
        <f t="shared" si="2"/>
        <v>80000</v>
      </c>
      <c r="R28" s="180"/>
    </row>
    <row r="29" spans="1:18">
      <c r="A29" s="164">
        <v>710</v>
      </c>
      <c r="B29" s="161" t="s">
        <v>84</v>
      </c>
      <c r="C29" s="162"/>
      <c r="D29" s="78">
        <f>SUM(D30:D32)</f>
        <v>490396</v>
      </c>
      <c r="E29" s="78">
        <f t="shared" ref="E29:Q29" si="9">SUM(E30:E32)</f>
        <v>24553</v>
      </c>
      <c r="F29" s="78">
        <f t="shared" si="9"/>
        <v>25280</v>
      </c>
      <c r="G29" s="78">
        <f t="shared" si="9"/>
        <v>68572</v>
      </c>
      <c r="H29" s="78">
        <f t="shared" si="9"/>
        <v>37881</v>
      </c>
      <c r="I29" s="78">
        <f t="shared" si="9"/>
        <v>35460</v>
      </c>
      <c r="J29" s="78">
        <f t="shared" si="9"/>
        <v>43980</v>
      </c>
      <c r="K29" s="78">
        <f t="shared" si="9"/>
        <v>34810</v>
      </c>
      <c r="L29" s="78">
        <f t="shared" si="9"/>
        <v>39810</v>
      </c>
      <c r="M29" s="78">
        <f t="shared" si="9"/>
        <v>25680</v>
      </c>
      <c r="N29" s="78">
        <f t="shared" si="9"/>
        <v>28240</v>
      </c>
      <c r="O29" s="78">
        <f t="shared" si="9"/>
        <v>101060</v>
      </c>
      <c r="P29" s="78">
        <f t="shared" si="9"/>
        <v>25070</v>
      </c>
      <c r="Q29" s="78">
        <f t="shared" si="9"/>
        <v>490396</v>
      </c>
      <c r="R29" s="123"/>
    </row>
    <row r="30" spans="1:18" s="183" customFormat="1">
      <c r="A30" s="200"/>
      <c r="B30" s="201" t="s">
        <v>85</v>
      </c>
      <c r="C30" s="205">
        <v>71015</v>
      </c>
      <c r="D30" s="90">
        <v>320396</v>
      </c>
      <c r="E30" s="90">
        <v>24553</v>
      </c>
      <c r="F30" s="186">
        <v>24810</v>
      </c>
      <c r="G30" s="90">
        <v>38052</v>
      </c>
      <c r="H30" s="90">
        <v>34501</v>
      </c>
      <c r="I30" s="186">
        <v>24810</v>
      </c>
      <c r="J30" s="90">
        <v>24810</v>
      </c>
      <c r="K30" s="186">
        <v>24810</v>
      </c>
      <c r="L30" s="90">
        <v>24810</v>
      </c>
      <c r="M30" s="186">
        <v>24810</v>
      </c>
      <c r="N30" s="90">
        <v>24810</v>
      </c>
      <c r="O30" s="186">
        <v>24810</v>
      </c>
      <c r="P30" s="90">
        <v>24810</v>
      </c>
      <c r="Q30" s="182">
        <f t="shared" si="2"/>
        <v>320396</v>
      </c>
      <c r="R30" s="123"/>
    </row>
    <row r="31" spans="1:18" s="183" customFormat="1">
      <c r="A31" s="200"/>
      <c r="B31" s="201" t="s">
        <v>86</v>
      </c>
      <c r="C31" s="205">
        <v>71020</v>
      </c>
      <c r="D31" s="96">
        <v>50000</v>
      </c>
      <c r="E31" s="96"/>
      <c r="F31" s="206"/>
      <c r="G31" s="96"/>
      <c r="H31" s="96"/>
      <c r="I31" s="206">
        <v>10000</v>
      </c>
      <c r="J31" s="96">
        <v>15000</v>
      </c>
      <c r="K31" s="206">
        <v>10000</v>
      </c>
      <c r="L31" s="96">
        <v>15000</v>
      </c>
      <c r="M31" s="206"/>
      <c r="N31" s="96"/>
      <c r="O31" s="206"/>
      <c r="P31" s="96"/>
      <c r="Q31" s="182">
        <f t="shared" si="2"/>
        <v>50000</v>
      </c>
      <c r="R31" s="123"/>
    </row>
    <row r="32" spans="1:18" s="183" customFormat="1">
      <c r="A32" s="200"/>
      <c r="B32" s="201" t="s">
        <v>70</v>
      </c>
      <c r="C32" s="205">
        <v>71095</v>
      </c>
      <c r="D32" s="96">
        <v>120000</v>
      </c>
      <c r="E32" s="96"/>
      <c r="F32" s="206">
        <v>470</v>
      </c>
      <c r="G32" s="96">
        <v>30520</v>
      </c>
      <c r="H32" s="96">
        <v>3380</v>
      </c>
      <c r="I32" s="206">
        <v>650</v>
      </c>
      <c r="J32" s="96">
        <v>4170</v>
      </c>
      <c r="K32" s="206"/>
      <c r="L32" s="96"/>
      <c r="M32" s="206">
        <v>870</v>
      </c>
      <c r="N32" s="96">
        <v>3430</v>
      </c>
      <c r="O32" s="206">
        <v>76250</v>
      </c>
      <c r="P32" s="96">
        <v>260</v>
      </c>
      <c r="Q32" s="182">
        <f t="shared" si="2"/>
        <v>120000</v>
      </c>
      <c r="R32" s="123"/>
    </row>
    <row r="33" spans="1:18">
      <c r="A33" s="164">
        <v>750</v>
      </c>
      <c r="B33" s="161" t="s">
        <v>87</v>
      </c>
      <c r="C33" s="162"/>
      <c r="D33" s="78">
        <f>SUM(D34:D40)</f>
        <v>7502005</v>
      </c>
      <c r="E33" s="78">
        <f t="shared" ref="E33:P33" si="10">SUM(E34:E40)</f>
        <v>610356</v>
      </c>
      <c r="F33" s="78">
        <f t="shared" si="10"/>
        <v>933177</v>
      </c>
      <c r="G33" s="78">
        <f t="shared" si="10"/>
        <v>675747</v>
      </c>
      <c r="H33" s="78">
        <f t="shared" si="10"/>
        <v>637037</v>
      </c>
      <c r="I33" s="78">
        <f t="shared" si="10"/>
        <v>571756</v>
      </c>
      <c r="J33" s="78">
        <f t="shared" si="10"/>
        <v>594756</v>
      </c>
      <c r="K33" s="78">
        <f t="shared" si="10"/>
        <v>589756</v>
      </c>
      <c r="L33" s="78">
        <f t="shared" si="10"/>
        <v>574756</v>
      </c>
      <c r="M33" s="78">
        <f t="shared" si="10"/>
        <v>579756</v>
      </c>
      <c r="N33" s="78">
        <f t="shared" si="10"/>
        <v>589756</v>
      </c>
      <c r="O33" s="78">
        <f t="shared" si="10"/>
        <v>569756</v>
      </c>
      <c r="P33" s="78">
        <f t="shared" si="10"/>
        <v>575396</v>
      </c>
      <c r="Q33" s="123">
        <f t="shared" si="2"/>
        <v>7502005</v>
      </c>
      <c r="R33" s="123"/>
    </row>
    <row r="34" spans="1:18" s="183" customFormat="1">
      <c r="A34" s="200"/>
      <c r="B34" s="201" t="s">
        <v>88</v>
      </c>
      <c r="C34" s="205">
        <v>75011</v>
      </c>
      <c r="D34" s="90">
        <v>118900</v>
      </c>
      <c r="E34" s="90">
        <v>8606</v>
      </c>
      <c r="F34" s="186">
        <v>21520</v>
      </c>
      <c r="G34" s="90">
        <f>180+11142</f>
        <v>11322</v>
      </c>
      <c r="H34" s="90">
        <v>8606</v>
      </c>
      <c r="I34" s="186">
        <v>8606</v>
      </c>
      <c r="J34" s="90">
        <v>8606</v>
      </c>
      <c r="K34" s="186">
        <v>8606</v>
      </c>
      <c r="L34" s="90">
        <v>8606</v>
      </c>
      <c r="M34" s="186">
        <v>8606</v>
      </c>
      <c r="N34" s="90">
        <v>8606</v>
      </c>
      <c r="O34" s="186">
        <v>8606</v>
      </c>
      <c r="P34" s="90">
        <v>8604</v>
      </c>
      <c r="Q34" s="182">
        <f t="shared" si="2"/>
        <v>118900</v>
      </c>
      <c r="R34" s="123"/>
    </row>
    <row r="35" spans="1:18" s="183" customFormat="1">
      <c r="A35" s="200"/>
      <c r="B35" s="201" t="s">
        <v>164</v>
      </c>
      <c r="C35" s="205">
        <v>75019</v>
      </c>
      <c r="D35" s="90">
        <v>240000</v>
      </c>
      <c r="E35" s="90">
        <v>20000</v>
      </c>
      <c r="F35" s="186">
        <v>20000</v>
      </c>
      <c r="G35" s="90">
        <v>20000</v>
      </c>
      <c r="H35" s="90">
        <v>20000</v>
      </c>
      <c r="I35" s="186">
        <v>20000</v>
      </c>
      <c r="J35" s="90">
        <v>20000</v>
      </c>
      <c r="K35" s="186">
        <v>20000</v>
      </c>
      <c r="L35" s="90">
        <v>20000</v>
      </c>
      <c r="M35" s="186">
        <v>20000</v>
      </c>
      <c r="N35" s="90">
        <v>20000</v>
      </c>
      <c r="O35" s="186">
        <v>20000</v>
      </c>
      <c r="P35" s="90">
        <v>20000</v>
      </c>
      <c r="Q35" s="182">
        <f t="shared" si="2"/>
        <v>240000</v>
      </c>
      <c r="R35" s="123"/>
    </row>
    <row r="36" spans="1:18" s="183" customFormat="1">
      <c r="A36" s="207"/>
      <c r="B36" s="208" t="s">
        <v>89</v>
      </c>
      <c r="C36" s="209">
        <v>75020</v>
      </c>
      <c r="D36" s="210">
        <v>6941824</v>
      </c>
      <c r="E36" s="210">
        <v>581150</v>
      </c>
      <c r="F36" s="211">
        <v>871657</v>
      </c>
      <c r="G36" s="210">
        <v>598025</v>
      </c>
      <c r="H36" s="210">
        <v>557150</v>
      </c>
      <c r="I36" s="211">
        <v>538150</v>
      </c>
      <c r="J36" s="210">
        <v>556150</v>
      </c>
      <c r="K36" s="211">
        <v>557150</v>
      </c>
      <c r="L36" s="210">
        <v>531150</v>
      </c>
      <c r="M36" s="211">
        <v>531150</v>
      </c>
      <c r="N36" s="210">
        <v>557150</v>
      </c>
      <c r="O36" s="211">
        <v>531150</v>
      </c>
      <c r="P36" s="210">
        <v>531792</v>
      </c>
      <c r="Q36" s="182">
        <f t="shared" si="2"/>
        <v>6941824</v>
      </c>
      <c r="R36" s="123"/>
    </row>
    <row r="37" spans="1:18" s="183" customFormat="1">
      <c r="A37" s="207"/>
      <c r="B37" s="208" t="s">
        <v>272</v>
      </c>
      <c r="C37" s="209">
        <v>75020</v>
      </c>
      <c r="D37" s="210">
        <v>6281</v>
      </c>
      <c r="E37" s="210"/>
      <c r="F37" s="211"/>
      <c r="G37" s="210"/>
      <c r="H37" s="210">
        <v>6281</v>
      </c>
      <c r="I37" s="211"/>
      <c r="J37" s="210"/>
      <c r="K37" s="211"/>
      <c r="L37" s="210"/>
      <c r="M37" s="211"/>
      <c r="N37" s="210"/>
      <c r="O37" s="211"/>
      <c r="P37" s="210"/>
      <c r="Q37" s="182"/>
      <c r="R37" s="123"/>
    </row>
    <row r="38" spans="1:18" s="183" customFormat="1">
      <c r="A38" s="207"/>
      <c r="B38" s="201" t="s">
        <v>90</v>
      </c>
      <c r="C38" s="205">
        <v>75045</v>
      </c>
      <c r="D38" s="90">
        <v>24000</v>
      </c>
      <c r="E38" s="90"/>
      <c r="F38" s="186"/>
      <c r="G38" s="90">
        <v>1800</v>
      </c>
      <c r="H38" s="90">
        <v>22200</v>
      </c>
      <c r="I38" s="186"/>
      <c r="J38" s="90"/>
      <c r="K38" s="186"/>
      <c r="L38" s="90"/>
      <c r="M38" s="186"/>
      <c r="N38" s="90"/>
      <c r="O38" s="186"/>
      <c r="P38" s="90"/>
      <c r="Q38" s="182">
        <f t="shared" si="2"/>
        <v>24000</v>
      </c>
      <c r="R38" s="123"/>
    </row>
    <row r="39" spans="1:18" s="183" customFormat="1">
      <c r="A39" s="200"/>
      <c r="B39" s="201" t="s">
        <v>165</v>
      </c>
      <c r="C39" s="205">
        <v>75075</v>
      </c>
      <c r="D39" s="96">
        <v>161000</v>
      </c>
      <c r="E39" s="96">
        <v>600</v>
      </c>
      <c r="F39" s="206">
        <v>20000</v>
      </c>
      <c r="G39" s="96">
        <v>44600</v>
      </c>
      <c r="H39" s="96">
        <v>22800</v>
      </c>
      <c r="I39" s="206">
        <v>5000</v>
      </c>
      <c r="J39" s="96">
        <v>10000</v>
      </c>
      <c r="K39" s="206">
        <v>4000</v>
      </c>
      <c r="L39" s="96">
        <v>15000</v>
      </c>
      <c r="M39" s="206">
        <v>20000</v>
      </c>
      <c r="N39" s="96">
        <v>4000</v>
      </c>
      <c r="O39" s="206">
        <v>10000</v>
      </c>
      <c r="P39" s="96">
        <v>5000</v>
      </c>
      <c r="Q39" s="182">
        <f t="shared" si="2"/>
        <v>161000</v>
      </c>
      <c r="R39" s="123"/>
    </row>
    <row r="40" spans="1:18" s="183" customFormat="1">
      <c r="A40" s="200"/>
      <c r="B40" s="201" t="s">
        <v>70</v>
      </c>
      <c r="C40" s="205">
        <v>75095</v>
      </c>
      <c r="D40" s="96">
        <v>10000</v>
      </c>
      <c r="E40" s="96"/>
      <c r="F40" s="206"/>
      <c r="G40" s="96"/>
      <c r="H40" s="96"/>
      <c r="I40" s="206"/>
      <c r="J40" s="96"/>
      <c r="K40" s="206"/>
      <c r="L40" s="96"/>
      <c r="M40" s="206"/>
      <c r="N40" s="96"/>
      <c r="O40" s="206"/>
      <c r="P40" s="96">
        <v>10000</v>
      </c>
      <c r="Q40" s="182">
        <f t="shared" si="2"/>
        <v>10000</v>
      </c>
      <c r="R40" s="123"/>
    </row>
    <row r="41" spans="1:18" s="183" customFormat="1">
      <c r="A41" s="164">
        <v>752</v>
      </c>
      <c r="B41" s="161" t="s">
        <v>227</v>
      </c>
      <c r="C41" s="167"/>
      <c r="D41" s="274">
        <f>SUM(D42)</f>
        <v>4000</v>
      </c>
      <c r="E41" s="274">
        <f t="shared" ref="E41:P41" si="11">SUM(E42)</f>
        <v>0</v>
      </c>
      <c r="F41" s="274">
        <f t="shared" si="11"/>
        <v>0</v>
      </c>
      <c r="G41" s="274">
        <f t="shared" si="11"/>
        <v>0</v>
      </c>
      <c r="H41" s="274">
        <f t="shared" si="11"/>
        <v>0</v>
      </c>
      <c r="I41" s="275">
        <f t="shared" si="11"/>
        <v>0</v>
      </c>
      <c r="J41" s="274">
        <f t="shared" si="11"/>
        <v>4000</v>
      </c>
      <c r="K41" s="275">
        <f t="shared" si="11"/>
        <v>0</v>
      </c>
      <c r="L41" s="274">
        <f t="shared" si="11"/>
        <v>0</v>
      </c>
      <c r="M41" s="275">
        <f t="shared" si="11"/>
        <v>0</v>
      </c>
      <c r="N41" s="274">
        <f t="shared" si="11"/>
        <v>0</v>
      </c>
      <c r="O41" s="275">
        <f t="shared" si="11"/>
        <v>0</v>
      </c>
      <c r="P41" s="274">
        <f t="shared" si="11"/>
        <v>0</v>
      </c>
      <c r="Q41" s="182"/>
      <c r="R41" s="123"/>
    </row>
    <row r="42" spans="1:18" s="183" customFormat="1">
      <c r="A42" s="200"/>
      <c r="B42" s="201" t="s">
        <v>228</v>
      </c>
      <c r="C42" s="205">
        <v>75212</v>
      </c>
      <c r="D42" s="96">
        <v>4000</v>
      </c>
      <c r="E42" s="96"/>
      <c r="F42" s="206"/>
      <c r="G42" s="96"/>
      <c r="H42" s="96"/>
      <c r="I42" s="206"/>
      <c r="J42" s="96">
        <v>4000</v>
      </c>
      <c r="K42" s="206"/>
      <c r="L42" s="96"/>
      <c r="M42" s="206"/>
      <c r="N42" s="96"/>
      <c r="O42" s="206"/>
      <c r="P42" s="96"/>
      <c r="Q42" s="182"/>
      <c r="R42" s="123"/>
    </row>
    <row r="43" spans="1:18">
      <c r="A43" s="164">
        <v>754</v>
      </c>
      <c r="B43" s="161" t="s">
        <v>92</v>
      </c>
      <c r="C43" s="162"/>
      <c r="D43" s="78">
        <f>SUM(D44:D46)</f>
        <v>5365740</v>
      </c>
      <c r="E43" s="78">
        <f t="shared" ref="E43:P43" si="12">SUM(E44:E46)</f>
        <v>657314</v>
      </c>
      <c r="F43" s="78">
        <f t="shared" si="12"/>
        <v>660000</v>
      </c>
      <c r="G43" s="78">
        <f t="shared" si="12"/>
        <v>436000</v>
      </c>
      <c r="H43" s="78">
        <f t="shared" si="12"/>
        <v>370000</v>
      </c>
      <c r="I43" s="78">
        <f t="shared" si="12"/>
        <v>536500</v>
      </c>
      <c r="J43" s="78">
        <f t="shared" si="12"/>
        <v>397000</v>
      </c>
      <c r="K43" s="78">
        <f t="shared" si="12"/>
        <v>360000</v>
      </c>
      <c r="L43" s="78">
        <f t="shared" si="12"/>
        <v>372500</v>
      </c>
      <c r="M43" s="78">
        <f t="shared" si="12"/>
        <v>392500</v>
      </c>
      <c r="N43" s="78">
        <f t="shared" si="12"/>
        <v>370000</v>
      </c>
      <c r="O43" s="78">
        <f t="shared" si="12"/>
        <v>390000</v>
      </c>
      <c r="P43" s="78">
        <f t="shared" si="12"/>
        <v>423926</v>
      </c>
      <c r="Q43" s="123">
        <f t="shared" si="2"/>
        <v>5365740</v>
      </c>
      <c r="R43" s="123"/>
    </row>
    <row r="44" spans="1:18" s="183" customFormat="1">
      <c r="A44" s="200"/>
      <c r="B44" s="201" t="s">
        <v>93</v>
      </c>
      <c r="C44" s="205">
        <v>75411</v>
      </c>
      <c r="D44" s="194">
        <v>5331240</v>
      </c>
      <c r="E44" s="194">
        <f>314314+343000</f>
        <v>657314</v>
      </c>
      <c r="F44" s="202">
        <v>660000</v>
      </c>
      <c r="G44" s="194">
        <v>430000</v>
      </c>
      <c r="H44" s="194">
        <v>370000</v>
      </c>
      <c r="I44" s="202">
        <v>530000</v>
      </c>
      <c r="J44" s="194">
        <v>385000</v>
      </c>
      <c r="K44" s="202">
        <v>360000</v>
      </c>
      <c r="L44" s="194">
        <v>370000</v>
      </c>
      <c r="M44" s="202">
        <v>385000</v>
      </c>
      <c r="N44" s="194">
        <v>370000</v>
      </c>
      <c r="O44" s="202">
        <v>390000</v>
      </c>
      <c r="P44" s="194">
        <v>423926</v>
      </c>
      <c r="Q44" s="182">
        <f t="shared" si="2"/>
        <v>5331240</v>
      </c>
      <c r="R44" s="123"/>
    </row>
    <row r="45" spans="1:18" s="183" customFormat="1">
      <c r="A45" s="200"/>
      <c r="B45" s="201" t="s">
        <v>229</v>
      </c>
      <c r="C45" s="205">
        <v>75414</v>
      </c>
      <c r="D45" s="194">
        <v>12000</v>
      </c>
      <c r="E45" s="194"/>
      <c r="F45" s="202"/>
      <c r="G45" s="194"/>
      <c r="H45" s="194"/>
      <c r="I45" s="202"/>
      <c r="J45" s="194">
        <v>12000</v>
      </c>
      <c r="K45" s="202"/>
      <c r="L45" s="194"/>
      <c r="M45" s="202"/>
      <c r="N45" s="194"/>
      <c r="O45" s="202"/>
      <c r="P45" s="194"/>
      <c r="Q45" s="182"/>
      <c r="R45" s="123"/>
    </row>
    <row r="46" spans="1:18" s="183" customFormat="1">
      <c r="A46" s="200"/>
      <c r="B46" s="201" t="s">
        <v>70</v>
      </c>
      <c r="C46" s="205">
        <v>75495</v>
      </c>
      <c r="D46" s="90">
        <f>SUM(D47:D48)</f>
        <v>22500</v>
      </c>
      <c r="E46" s="90">
        <f t="shared" ref="E46:P46" si="13">SUM(E47:E48)</f>
        <v>0</v>
      </c>
      <c r="F46" s="90">
        <f t="shared" si="13"/>
        <v>0</v>
      </c>
      <c r="G46" s="90">
        <f t="shared" si="13"/>
        <v>6000</v>
      </c>
      <c r="H46" s="90">
        <f t="shared" si="13"/>
        <v>0</v>
      </c>
      <c r="I46" s="90">
        <f t="shared" si="13"/>
        <v>6500</v>
      </c>
      <c r="J46" s="90">
        <f t="shared" si="13"/>
        <v>0</v>
      </c>
      <c r="K46" s="90">
        <f t="shared" si="13"/>
        <v>0</v>
      </c>
      <c r="L46" s="90">
        <f t="shared" si="13"/>
        <v>2500</v>
      </c>
      <c r="M46" s="90">
        <f t="shared" si="13"/>
        <v>7500</v>
      </c>
      <c r="N46" s="90">
        <f t="shared" si="13"/>
        <v>0</v>
      </c>
      <c r="O46" s="90">
        <f t="shared" si="13"/>
        <v>0</v>
      </c>
      <c r="P46" s="90">
        <f t="shared" si="13"/>
        <v>0</v>
      </c>
      <c r="Q46" s="182">
        <f t="shared" si="2"/>
        <v>22500</v>
      </c>
      <c r="R46" s="123"/>
    </row>
    <row r="47" spans="1:18" s="183" customFormat="1">
      <c r="A47" s="200"/>
      <c r="B47" s="204" t="s">
        <v>263</v>
      </c>
      <c r="C47" s="205"/>
      <c r="D47" s="90">
        <v>7500</v>
      </c>
      <c r="E47" s="90"/>
      <c r="F47" s="186"/>
      <c r="G47" s="90"/>
      <c r="H47" s="90"/>
      <c r="I47" s="186">
        <v>2500</v>
      </c>
      <c r="J47" s="90"/>
      <c r="K47" s="186"/>
      <c r="L47" s="90">
        <v>2500</v>
      </c>
      <c r="M47" s="186">
        <v>2500</v>
      </c>
      <c r="N47" s="90"/>
      <c r="O47" s="186"/>
      <c r="P47" s="90"/>
      <c r="Q47" s="182"/>
      <c r="R47" s="123"/>
    </row>
    <row r="48" spans="1:18" s="183" customFormat="1">
      <c r="A48" s="200"/>
      <c r="B48" s="204" t="s">
        <v>264</v>
      </c>
      <c r="C48" s="205"/>
      <c r="D48" s="90">
        <v>15000</v>
      </c>
      <c r="E48" s="90"/>
      <c r="F48" s="186"/>
      <c r="G48" s="90">
        <v>6000</v>
      </c>
      <c r="H48" s="90"/>
      <c r="I48" s="186">
        <v>4000</v>
      </c>
      <c r="J48" s="90"/>
      <c r="K48" s="186"/>
      <c r="L48" s="90"/>
      <c r="M48" s="186">
        <v>5000</v>
      </c>
      <c r="N48" s="90"/>
      <c r="O48" s="186"/>
      <c r="P48" s="90"/>
      <c r="Q48" s="182"/>
      <c r="R48" s="123"/>
    </row>
    <row r="49" spans="1:18">
      <c r="A49" s="164">
        <v>755</v>
      </c>
      <c r="B49" s="161" t="s">
        <v>94</v>
      </c>
      <c r="C49" s="167"/>
      <c r="D49" s="99">
        <f>SUM(D50)</f>
        <v>187812</v>
      </c>
      <c r="E49" s="99">
        <f t="shared" ref="E49" si="14">SUM(E50)</f>
        <v>15651</v>
      </c>
      <c r="F49" s="134">
        <f t="shared" ref="F49:P49" si="15">SUM(F50)</f>
        <v>15651</v>
      </c>
      <c r="G49" s="99">
        <f t="shared" si="15"/>
        <v>15651</v>
      </c>
      <c r="H49" s="99">
        <f t="shared" si="15"/>
        <v>15651</v>
      </c>
      <c r="I49" s="134">
        <f t="shared" si="15"/>
        <v>15651</v>
      </c>
      <c r="J49" s="99">
        <f t="shared" si="15"/>
        <v>15651</v>
      </c>
      <c r="K49" s="134">
        <f t="shared" si="15"/>
        <v>15651</v>
      </c>
      <c r="L49" s="99">
        <f t="shared" si="15"/>
        <v>15651</v>
      </c>
      <c r="M49" s="134">
        <f t="shared" si="15"/>
        <v>15651</v>
      </c>
      <c r="N49" s="99">
        <f t="shared" si="15"/>
        <v>15651</v>
      </c>
      <c r="O49" s="134">
        <f t="shared" si="15"/>
        <v>15651</v>
      </c>
      <c r="P49" s="99">
        <f t="shared" si="15"/>
        <v>15651</v>
      </c>
      <c r="Q49" s="123">
        <f t="shared" si="2"/>
        <v>187812</v>
      </c>
      <c r="R49" s="123"/>
    </row>
    <row r="50" spans="1:18" s="183" customFormat="1">
      <c r="A50" s="200"/>
      <c r="B50" s="201" t="s">
        <v>95</v>
      </c>
      <c r="C50" s="205">
        <v>75515</v>
      </c>
      <c r="D50" s="90">
        <v>187812</v>
      </c>
      <c r="E50" s="90">
        <v>15651</v>
      </c>
      <c r="F50" s="186">
        <v>15651</v>
      </c>
      <c r="G50" s="90">
        <v>15651</v>
      </c>
      <c r="H50" s="90">
        <v>15651</v>
      </c>
      <c r="I50" s="186">
        <v>15651</v>
      </c>
      <c r="J50" s="90">
        <v>15651</v>
      </c>
      <c r="K50" s="186">
        <v>15651</v>
      </c>
      <c r="L50" s="90">
        <v>15651</v>
      </c>
      <c r="M50" s="186">
        <v>15651</v>
      </c>
      <c r="N50" s="90">
        <v>15651</v>
      </c>
      <c r="O50" s="186">
        <v>15651</v>
      </c>
      <c r="P50" s="90">
        <v>15651</v>
      </c>
      <c r="Q50" s="182">
        <f t="shared" si="2"/>
        <v>187812</v>
      </c>
      <c r="R50" s="123"/>
    </row>
    <row r="51" spans="1:18">
      <c r="A51" s="164">
        <v>757</v>
      </c>
      <c r="B51" s="161" t="s">
        <v>166</v>
      </c>
      <c r="C51" s="162"/>
      <c r="D51" s="145">
        <f>SUM(D52)</f>
        <v>907856</v>
      </c>
      <c r="E51" s="145">
        <f t="shared" ref="E51" si="16">SUM(E52)</f>
        <v>75655</v>
      </c>
      <c r="F51" s="146">
        <f t="shared" ref="F51:P51" si="17">SUM(F52)</f>
        <v>75655</v>
      </c>
      <c r="G51" s="145">
        <f t="shared" si="17"/>
        <v>75655</v>
      </c>
      <c r="H51" s="145">
        <f t="shared" si="17"/>
        <v>75655</v>
      </c>
      <c r="I51" s="146">
        <f t="shared" si="17"/>
        <v>75655</v>
      </c>
      <c r="J51" s="145">
        <f t="shared" si="17"/>
        <v>75655</v>
      </c>
      <c r="K51" s="146">
        <f t="shared" si="17"/>
        <v>75655</v>
      </c>
      <c r="L51" s="145">
        <f t="shared" si="17"/>
        <v>75655</v>
      </c>
      <c r="M51" s="146">
        <f t="shared" si="17"/>
        <v>75655</v>
      </c>
      <c r="N51" s="145">
        <f t="shared" si="17"/>
        <v>75655</v>
      </c>
      <c r="O51" s="146">
        <f t="shared" si="17"/>
        <v>75655</v>
      </c>
      <c r="P51" s="145">
        <f t="shared" si="17"/>
        <v>75651</v>
      </c>
      <c r="Q51" s="123">
        <f t="shared" si="2"/>
        <v>907856</v>
      </c>
      <c r="R51" s="123"/>
    </row>
    <row r="52" spans="1:18" s="183" customFormat="1">
      <c r="A52" s="200"/>
      <c r="B52" s="201" t="s">
        <v>167</v>
      </c>
      <c r="C52" s="205">
        <v>75702</v>
      </c>
      <c r="D52" s="194">
        <v>907856</v>
      </c>
      <c r="E52" s="194">
        <v>75655</v>
      </c>
      <c r="F52" s="202">
        <v>75655</v>
      </c>
      <c r="G52" s="194">
        <v>75655</v>
      </c>
      <c r="H52" s="194">
        <v>75655</v>
      </c>
      <c r="I52" s="202">
        <v>75655</v>
      </c>
      <c r="J52" s="194">
        <v>75655</v>
      </c>
      <c r="K52" s="202">
        <v>75655</v>
      </c>
      <c r="L52" s="194">
        <v>75655</v>
      </c>
      <c r="M52" s="202">
        <v>75655</v>
      </c>
      <c r="N52" s="194">
        <v>75655</v>
      </c>
      <c r="O52" s="202">
        <v>75655</v>
      </c>
      <c r="P52" s="194">
        <v>75651</v>
      </c>
      <c r="Q52" s="182">
        <f t="shared" si="2"/>
        <v>907856</v>
      </c>
      <c r="R52" s="123"/>
    </row>
    <row r="53" spans="1:18">
      <c r="A53" s="164">
        <v>758</v>
      </c>
      <c r="B53" s="161" t="s">
        <v>100</v>
      </c>
      <c r="C53" s="162"/>
      <c r="D53" s="78">
        <f>SUM(D54:D55)</f>
        <v>178646</v>
      </c>
      <c r="E53" s="78">
        <f t="shared" ref="E53" si="18">SUM(E54:E55)</f>
        <v>0</v>
      </c>
      <c r="F53" s="79">
        <f t="shared" ref="F53:P53" si="19">SUM(F54:F55)</f>
        <v>0</v>
      </c>
      <c r="G53" s="78">
        <f t="shared" si="19"/>
        <v>0</v>
      </c>
      <c r="H53" s="78">
        <f t="shared" si="19"/>
        <v>0</v>
      </c>
      <c r="I53" s="79">
        <f t="shared" si="19"/>
        <v>0</v>
      </c>
      <c r="J53" s="78">
        <f t="shared" si="19"/>
        <v>0</v>
      </c>
      <c r="K53" s="79">
        <f t="shared" si="19"/>
        <v>0</v>
      </c>
      <c r="L53" s="78">
        <f t="shared" si="19"/>
        <v>0</v>
      </c>
      <c r="M53" s="79">
        <f t="shared" si="19"/>
        <v>0</v>
      </c>
      <c r="N53" s="78">
        <f t="shared" si="19"/>
        <v>0</v>
      </c>
      <c r="O53" s="79">
        <f t="shared" si="19"/>
        <v>0</v>
      </c>
      <c r="P53" s="78">
        <f t="shared" si="19"/>
        <v>178646</v>
      </c>
      <c r="Q53" s="123">
        <f t="shared" si="2"/>
        <v>178646</v>
      </c>
      <c r="R53" s="123"/>
    </row>
    <row r="54" spans="1:18" s="183" customFormat="1">
      <c r="A54" s="200"/>
      <c r="B54" s="201" t="s">
        <v>103</v>
      </c>
      <c r="C54" s="205">
        <v>75814</v>
      </c>
      <c r="D54" s="90">
        <v>2000</v>
      </c>
      <c r="E54" s="81"/>
      <c r="F54" s="212"/>
      <c r="G54" s="81"/>
      <c r="H54" s="81"/>
      <c r="I54" s="212"/>
      <c r="J54" s="81"/>
      <c r="K54" s="212"/>
      <c r="L54" s="81"/>
      <c r="M54" s="212"/>
      <c r="N54" s="81"/>
      <c r="O54" s="212"/>
      <c r="P54" s="81">
        <v>2000</v>
      </c>
      <c r="Q54" s="182">
        <f t="shared" si="2"/>
        <v>2000</v>
      </c>
      <c r="R54" s="123"/>
    </row>
    <row r="55" spans="1:18" s="183" customFormat="1">
      <c r="A55" s="200"/>
      <c r="B55" s="201" t="s">
        <v>168</v>
      </c>
      <c r="C55" s="205">
        <v>75818</v>
      </c>
      <c r="D55" s="81">
        <v>176646</v>
      </c>
      <c r="E55" s="81"/>
      <c r="F55" s="212"/>
      <c r="G55" s="81"/>
      <c r="H55" s="81"/>
      <c r="I55" s="212"/>
      <c r="J55" s="81"/>
      <c r="K55" s="212"/>
      <c r="L55" s="81"/>
      <c r="M55" s="212"/>
      <c r="N55" s="81"/>
      <c r="O55" s="212"/>
      <c r="P55" s="81">
        <v>176646</v>
      </c>
      <c r="Q55" s="182">
        <f t="shared" si="2"/>
        <v>176646</v>
      </c>
      <c r="R55" s="123"/>
    </row>
    <row r="56" spans="1:18">
      <c r="A56" s="164">
        <v>801</v>
      </c>
      <c r="B56" s="161" t="s">
        <v>105</v>
      </c>
      <c r="C56" s="162"/>
      <c r="D56" s="78">
        <f>SUM(D57+D58+D59+D62+D69+D76+D83+D84+D85+D86+D96+D87+D63+D66+D90)</f>
        <v>26952093</v>
      </c>
      <c r="E56" s="78">
        <f t="shared" ref="E56:O56" si="20">SUM(E57+E58+E59+E62+E69+E76+E83+E84+E85+E86+E96+E87+E63+E66+E90)</f>
        <v>2196865</v>
      </c>
      <c r="F56" s="78">
        <f t="shared" si="20"/>
        <v>2282250</v>
      </c>
      <c r="G56" s="78">
        <f t="shared" si="20"/>
        <v>3330133</v>
      </c>
      <c r="H56" s="78">
        <f t="shared" si="20"/>
        <v>2941418</v>
      </c>
      <c r="I56" s="79">
        <f t="shared" si="20"/>
        <v>2392199</v>
      </c>
      <c r="J56" s="78">
        <f t="shared" si="20"/>
        <v>2176542</v>
      </c>
      <c r="K56" s="79">
        <f t="shared" si="20"/>
        <v>2046015</v>
      </c>
      <c r="L56" s="78">
        <f t="shared" si="20"/>
        <v>2083755</v>
      </c>
      <c r="M56" s="79">
        <f t="shared" si="20"/>
        <v>2119009</v>
      </c>
      <c r="N56" s="78">
        <f t="shared" si="20"/>
        <v>1517424</v>
      </c>
      <c r="O56" s="79">
        <f t="shared" si="20"/>
        <v>1190589</v>
      </c>
      <c r="P56" s="78">
        <f>SUM(P57+P58+P59+P62+P69+P76+P83+P84+P85+P86+P96+P87+P63+P66+P90)</f>
        <v>2675894</v>
      </c>
      <c r="Q56" s="123">
        <f t="shared" si="2"/>
        <v>26952093</v>
      </c>
      <c r="R56" s="123"/>
    </row>
    <row r="57" spans="1:18" s="183" customFormat="1">
      <c r="A57" s="203"/>
      <c r="B57" s="201" t="s">
        <v>106</v>
      </c>
      <c r="C57" s="205">
        <v>80102</v>
      </c>
      <c r="D57" s="213">
        <v>3741364</v>
      </c>
      <c r="E57" s="213">
        <v>286200</v>
      </c>
      <c r="F57" s="214">
        <v>361900</v>
      </c>
      <c r="G57" s="213">
        <v>495300</v>
      </c>
      <c r="H57" s="213">
        <v>490200</v>
      </c>
      <c r="I57" s="214">
        <v>361000</v>
      </c>
      <c r="J57" s="213">
        <v>353205</v>
      </c>
      <c r="K57" s="214">
        <v>306700</v>
      </c>
      <c r="L57" s="213">
        <v>314500</v>
      </c>
      <c r="M57" s="214">
        <v>311300</v>
      </c>
      <c r="N57" s="213">
        <v>159700</v>
      </c>
      <c r="O57" s="214">
        <v>153400</v>
      </c>
      <c r="P57" s="213">
        <v>147959</v>
      </c>
      <c r="Q57" s="182">
        <f t="shared" si="2"/>
        <v>3741364</v>
      </c>
      <c r="R57" s="123"/>
    </row>
    <row r="58" spans="1:18" s="183" customFormat="1">
      <c r="A58" s="203"/>
      <c r="B58" s="201" t="s">
        <v>169</v>
      </c>
      <c r="C58" s="205">
        <v>80105</v>
      </c>
      <c r="D58" s="213">
        <v>496488</v>
      </c>
      <c r="E58" s="213">
        <v>41600</v>
      </c>
      <c r="F58" s="214">
        <v>48100</v>
      </c>
      <c r="G58" s="213">
        <v>63100</v>
      </c>
      <c r="H58" s="213">
        <v>61800</v>
      </c>
      <c r="I58" s="214">
        <v>48200</v>
      </c>
      <c r="J58" s="213">
        <v>46327</v>
      </c>
      <c r="K58" s="214">
        <v>43200</v>
      </c>
      <c r="L58" s="213">
        <v>43200</v>
      </c>
      <c r="M58" s="214">
        <v>43200</v>
      </c>
      <c r="N58" s="213">
        <v>21145</v>
      </c>
      <c r="O58" s="214">
        <v>18916</v>
      </c>
      <c r="P58" s="213">
        <v>17700</v>
      </c>
      <c r="Q58" s="184">
        <f t="shared" si="2"/>
        <v>496488</v>
      </c>
      <c r="R58" s="123"/>
    </row>
    <row r="59" spans="1:18" s="183" customFormat="1">
      <c r="A59" s="215"/>
      <c r="B59" s="201" t="s">
        <v>170</v>
      </c>
      <c r="C59" s="205">
        <v>80110</v>
      </c>
      <c r="D59" s="90">
        <f>SUM(D60:D61)</f>
        <v>234929</v>
      </c>
      <c r="E59" s="90">
        <f t="shared" ref="E59:P59" si="21">SUM(E60:E61)</f>
        <v>18966</v>
      </c>
      <c r="F59" s="90">
        <f t="shared" si="21"/>
        <v>18900</v>
      </c>
      <c r="G59" s="90">
        <f t="shared" si="21"/>
        <v>32700</v>
      </c>
      <c r="H59" s="90">
        <f t="shared" si="21"/>
        <v>22165</v>
      </c>
      <c r="I59" s="90">
        <f t="shared" si="21"/>
        <v>17500</v>
      </c>
      <c r="J59" s="90">
        <f t="shared" si="21"/>
        <v>17700</v>
      </c>
      <c r="K59" s="90">
        <f t="shared" si="21"/>
        <v>17700</v>
      </c>
      <c r="L59" s="90">
        <f t="shared" si="21"/>
        <v>17700</v>
      </c>
      <c r="M59" s="90">
        <f t="shared" si="21"/>
        <v>17500</v>
      </c>
      <c r="N59" s="90">
        <f t="shared" si="21"/>
        <v>16934</v>
      </c>
      <c r="O59" s="90">
        <f t="shared" si="21"/>
        <v>16890</v>
      </c>
      <c r="P59" s="90">
        <f t="shared" si="21"/>
        <v>20274</v>
      </c>
      <c r="Q59" s="184">
        <f t="shared" si="2"/>
        <v>234929</v>
      </c>
      <c r="R59" s="123"/>
    </row>
    <row r="60" spans="1:18" s="183" customFormat="1">
      <c r="A60" s="203"/>
      <c r="B60" s="204" t="s">
        <v>200</v>
      </c>
      <c r="C60" s="205"/>
      <c r="D60" s="90">
        <v>200102</v>
      </c>
      <c r="E60" s="90">
        <f>3093+13773</f>
        <v>16866</v>
      </c>
      <c r="F60" s="186">
        <v>14700</v>
      </c>
      <c r="G60" s="90">
        <v>29900</v>
      </c>
      <c r="H60" s="90">
        <v>19365</v>
      </c>
      <c r="I60" s="186">
        <v>14700</v>
      </c>
      <c r="J60" s="90">
        <v>14700</v>
      </c>
      <c r="K60" s="186">
        <v>14700</v>
      </c>
      <c r="L60" s="90">
        <v>14700</v>
      </c>
      <c r="M60" s="186">
        <v>14700</v>
      </c>
      <c r="N60" s="90">
        <v>14134</v>
      </c>
      <c r="O60" s="186">
        <v>14090</v>
      </c>
      <c r="P60" s="90">
        <v>17547</v>
      </c>
      <c r="Q60" s="182">
        <f t="shared" si="2"/>
        <v>200102</v>
      </c>
      <c r="R60" s="123"/>
    </row>
    <row r="61" spans="1:18" s="183" customFormat="1">
      <c r="A61" s="203"/>
      <c r="B61" s="204" t="s">
        <v>201</v>
      </c>
      <c r="C61" s="205"/>
      <c r="D61" s="90">
        <v>34827</v>
      </c>
      <c r="E61" s="90">
        <v>2100</v>
      </c>
      <c r="F61" s="186">
        <v>4200</v>
      </c>
      <c r="G61" s="90">
        <v>2800</v>
      </c>
      <c r="H61" s="90">
        <v>2800</v>
      </c>
      <c r="I61" s="186">
        <v>2800</v>
      </c>
      <c r="J61" s="90">
        <v>3000</v>
      </c>
      <c r="K61" s="186">
        <v>3000</v>
      </c>
      <c r="L61" s="90">
        <v>3000</v>
      </c>
      <c r="M61" s="186">
        <v>2800</v>
      </c>
      <c r="N61" s="90">
        <v>2800</v>
      </c>
      <c r="O61" s="186">
        <v>2800</v>
      </c>
      <c r="P61" s="90">
        <v>2727</v>
      </c>
      <c r="Q61" s="182">
        <f t="shared" si="2"/>
        <v>34827</v>
      </c>
      <c r="R61" s="123"/>
    </row>
    <row r="62" spans="1:18" s="183" customFormat="1">
      <c r="A62" s="203"/>
      <c r="B62" s="201" t="s">
        <v>171</v>
      </c>
      <c r="C62" s="205">
        <v>80111</v>
      </c>
      <c r="D62" s="213">
        <v>397253</v>
      </c>
      <c r="E62" s="213">
        <v>31700</v>
      </c>
      <c r="F62" s="214">
        <v>40200</v>
      </c>
      <c r="G62" s="213">
        <v>55100</v>
      </c>
      <c r="H62" s="213">
        <v>54800</v>
      </c>
      <c r="I62" s="214">
        <v>40200</v>
      </c>
      <c r="J62" s="213">
        <v>38590</v>
      </c>
      <c r="K62" s="214">
        <v>35100</v>
      </c>
      <c r="L62" s="213">
        <v>35100</v>
      </c>
      <c r="M62" s="214">
        <v>31033</v>
      </c>
      <c r="N62" s="213">
        <v>14200</v>
      </c>
      <c r="O62" s="214">
        <v>11030</v>
      </c>
      <c r="P62" s="213">
        <v>10200</v>
      </c>
      <c r="Q62" s="182">
        <f t="shared" si="2"/>
        <v>397253</v>
      </c>
      <c r="R62" s="123"/>
    </row>
    <row r="63" spans="1:18" s="183" customFormat="1">
      <c r="A63" s="203"/>
      <c r="B63" s="201" t="s">
        <v>258</v>
      </c>
      <c r="C63" s="205">
        <v>80116</v>
      </c>
      <c r="D63" s="213">
        <f>SUM(D64:D65)</f>
        <v>331884</v>
      </c>
      <c r="E63" s="213">
        <f t="shared" ref="E63:P63" si="22">SUM(E64:E65)</f>
        <v>26055</v>
      </c>
      <c r="F63" s="213">
        <f t="shared" si="22"/>
        <v>26745</v>
      </c>
      <c r="G63" s="213">
        <f t="shared" si="22"/>
        <v>29123</v>
      </c>
      <c r="H63" s="213">
        <f t="shared" si="22"/>
        <v>26744</v>
      </c>
      <c r="I63" s="213">
        <f t="shared" si="22"/>
        <v>32742</v>
      </c>
      <c r="J63" s="213">
        <f t="shared" si="22"/>
        <v>26733</v>
      </c>
      <c r="K63" s="213">
        <f t="shared" si="22"/>
        <v>26344</v>
      </c>
      <c r="L63" s="213">
        <f t="shared" si="22"/>
        <v>26344</v>
      </c>
      <c r="M63" s="213">
        <f t="shared" si="22"/>
        <v>30459</v>
      </c>
      <c r="N63" s="213">
        <f t="shared" si="22"/>
        <v>26844</v>
      </c>
      <c r="O63" s="213">
        <f t="shared" si="22"/>
        <v>26844</v>
      </c>
      <c r="P63" s="213">
        <f t="shared" si="22"/>
        <v>26907</v>
      </c>
      <c r="Q63" s="276">
        <f t="shared" ref="Q63" si="23">SUM(Q64:Q65)</f>
        <v>0</v>
      </c>
      <c r="R63" s="123"/>
    </row>
    <row r="64" spans="1:18" s="183" customFormat="1">
      <c r="A64" s="203"/>
      <c r="B64" s="204" t="s">
        <v>205</v>
      </c>
      <c r="C64" s="205"/>
      <c r="D64" s="213">
        <v>128036</v>
      </c>
      <c r="E64" s="213">
        <v>10000</v>
      </c>
      <c r="F64" s="214">
        <v>10690</v>
      </c>
      <c r="G64" s="213">
        <v>10790</v>
      </c>
      <c r="H64" s="213">
        <v>10690</v>
      </c>
      <c r="I64" s="214">
        <v>10290</v>
      </c>
      <c r="J64" s="213">
        <v>10290</v>
      </c>
      <c r="K64" s="214">
        <v>10290</v>
      </c>
      <c r="L64" s="213">
        <v>10290</v>
      </c>
      <c r="M64" s="214">
        <v>12273</v>
      </c>
      <c r="N64" s="213">
        <v>10790</v>
      </c>
      <c r="O64" s="214">
        <v>10790</v>
      </c>
      <c r="P64" s="213">
        <v>10853</v>
      </c>
      <c r="Q64" s="182"/>
      <c r="R64" s="123"/>
    </row>
    <row r="65" spans="1:18" s="183" customFormat="1">
      <c r="A65" s="203"/>
      <c r="B65" s="204" t="s">
        <v>259</v>
      </c>
      <c r="C65" s="205"/>
      <c r="D65" s="213">
        <v>203848</v>
      </c>
      <c r="E65" s="213">
        <v>16055</v>
      </c>
      <c r="F65" s="214">
        <v>16055</v>
      </c>
      <c r="G65" s="213">
        <v>18333</v>
      </c>
      <c r="H65" s="213">
        <v>16054</v>
      </c>
      <c r="I65" s="214">
        <v>22452</v>
      </c>
      <c r="J65" s="213">
        <v>16443</v>
      </c>
      <c r="K65" s="214">
        <v>16054</v>
      </c>
      <c r="L65" s="213">
        <v>16054</v>
      </c>
      <c r="M65" s="214">
        <v>18186</v>
      </c>
      <c r="N65" s="213">
        <v>16054</v>
      </c>
      <c r="O65" s="214">
        <v>16054</v>
      </c>
      <c r="P65" s="213">
        <v>16054</v>
      </c>
      <c r="Q65" s="182"/>
      <c r="R65" s="123"/>
    </row>
    <row r="66" spans="1:18" s="183" customFormat="1">
      <c r="A66" s="203"/>
      <c r="B66" s="192" t="s">
        <v>260</v>
      </c>
      <c r="C66" s="205">
        <v>80117</v>
      </c>
      <c r="D66" s="213">
        <f>SUM(D67:D68)</f>
        <v>393154</v>
      </c>
      <c r="E66" s="213">
        <f t="shared" ref="E66:P66" si="24">SUM(E67:E68)</f>
        <v>34120</v>
      </c>
      <c r="F66" s="213">
        <f t="shared" si="24"/>
        <v>34120</v>
      </c>
      <c r="G66" s="213">
        <f t="shared" si="24"/>
        <v>37120</v>
      </c>
      <c r="H66" s="213">
        <f t="shared" si="24"/>
        <v>36120</v>
      </c>
      <c r="I66" s="213">
        <f t="shared" si="24"/>
        <v>36120</v>
      </c>
      <c r="J66" s="213">
        <f t="shared" si="24"/>
        <v>36120</v>
      </c>
      <c r="K66" s="213">
        <f t="shared" si="24"/>
        <v>36120</v>
      </c>
      <c r="L66" s="213">
        <f t="shared" si="24"/>
        <v>36120</v>
      </c>
      <c r="M66" s="213">
        <f t="shared" si="24"/>
        <v>39120</v>
      </c>
      <c r="N66" s="213">
        <f t="shared" si="24"/>
        <v>39120</v>
      </c>
      <c r="O66" s="213">
        <f t="shared" si="24"/>
        <v>27780</v>
      </c>
      <c r="P66" s="213">
        <f t="shared" si="24"/>
        <v>1174</v>
      </c>
      <c r="Q66" s="182"/>
      <c r="R66" s="123"/>
    </row>
    <row r="67" spans="1:18" s="183" customFormat="1">
      <c r="A67" s="203"/>
      <c r="B67" s="204" t="s">
        <v>201</v>
      </c>
      <c r="C67" s="205"/>
      <c r="D67" s="213">
        <v>13494</v>
      </c>
      <c r="E67" s="213">
        <v>1120</v>
      </c>
      <c r="F67" s="214">
        <v>1120</v>
      </c>
      <c r="G67" s="213">
        <v>1120</v>
      </c>
      <c r="H67" s="213">
        <v>1120</v>
      </c>
      <c r="I67" s="214">
        <v>1120</v>
      </c>
      <c r="J67" s="213">
        <v>1120</v>
      </c>
      <c r="K67" s="214">
        <v>1120</v>
      </c>
      <c r="L67" s="213">
        <v>1120</v>
      </c>
      <c r="M67" s="214">
        <v>1120</v>
      </c>
      <c r="N67" s="213">
        <v>1120</v>
      </c>
      <c r="O67" s="214">
        <v>1120</v>
      </c>
      <c r="P67" s="213">
        <v>1174</v>
      </c>
      <c r="Q67" s="182"/>
      <c r="R67" s="123"/>
    </row>
    <row r="68" spans="1:18" s="183" customFormat="1">
      <c r="A68" s="203"/>
      <c r="B68" s="204" t="s">
        <v>209</v>
      </c>
      <c r="C68" s="205"/>
      <c r="D68" s="213">
        <v>379660</v>
      </c>
      <c r="E68" s="213">
        <v>33000</v>
      </c>
      <c r="F68" s="214">
        <v>33000</v>
      </c>
      <c r="G68" s="213">
        <v>36000</v>
      </c>
      <c r="H68" s="213">
        <v>35000</v>
      </c>
      <c r="I68" s="214">
        <v>35000</v>
      </c>
      <c r="J68" s="213">
        <v>35000</v>
      </c>
      <c r="K68" s="214">
        <v>35000</v>
      </c>
      <c r="L68" s="213">
        <v>35000</v>
      </c>
      <c r="M68" s="214">
        <v>38000</v>
      </c>
      <c r="N68" s="213">
        <v>38000</v>
      </c>
      <c r="O68" s="214">
        <v>26660</v>
      </c>
      <c r="P68" s="213"/>
      <c r="Q68" s="182"/>
      <c r="R68" s="123"/>
    </row>
    <row r="69" spans="1:18" s="183" customFormat="1">
      <c r="A69" s="215"/>
      <c r="B69" s="201" t="s">
        <v>107</v>
      </c>
      <c r="C69" s="205">
        <v>80120</v>
      </c>
      <c r="D69" s="90">
        <f>SUM(D70:D75)</f>
        <v>6688919</v>
      </c>
      <c r="E69" s="90">
        <f t="shared" ref="E69:P69" si="25">SUM(E70:E75)</f>
        <v>546813</v>
      </c>
      <c r="F69" s="90">
        <f t="shared" si="25"/>
        <v>594193</v>
      </c>
      <c r="G69" s="90">
        <f t="shared" si="25"/>
        <v>911951</v>
      </c>
      <c r="H69" s="90">
        <f t="shared" si="25"/>
        <v>747739</v>
      </c>
      <c r="I69" s="90">
        <f t="shared" si="25"/>
        <v>719422</v>
      </c>
      <c r="J69" s="90">
        <f t="shared" si="25"/>
        <v>582355</v>
      </c>
      <c r="K69" s="90">
        <f t="shared" si="25"/>
        <v>545239</v>
      </c>
      <c r="L69" s="90">
        <f t="shared" si="25"/>
        <v>566357</v>
      </c>
      <c r="M69" s="90">
        <f t="shared" si="25"/>
        <v>551077</v>
      </c>
      <c r="N69" s="90">
        <f t="shared" si="25"/>
        <v>350877</v>
      </c>
      <c r="O69" s="90">
        <f t="shared" si="25"/>
        <v>316090</v>
      </c>
      <c r="P69" s="90">
        <f t="shared" si="25"/>
        <v>256806</v>
      </c>
      <c r="Q69" s="182">
        <f t="shared" si="2"/>
        <v>6688919</v>
      </c>
      <c r="R69" s="123"/>
    </row>
    <row r="70" spans="1:18" s="183" customFormat="1">
      <c r="A70" s="203"/>
      <c r="B70" s="204" t="s">
        <v>202</v>
      </c>
      <c r="C70" s="205"/>
      <c r="D70" s="93">
        <v>2844970</v>
      </c>
      <c r="E70" s="90">
        <v>263040</v>
      </c>
      <c r="F70" s="186">
        <v>265050</v>
      </c>
      <c r="G70" s="96">
        <v>400050</v>
      </c>
      <c r="H70" s="96">
        <v>339040</v>
      </c>
      <c r="I70" s="206">
        <v>280040</v>
      </c>
      <c r="J70" s="96">
        <v>270040</v>
      </c>
      <c r="K70" s="206">
        <v>245030</v>
      </c>
      <c r="L70" s="96">
        <v>267667</v>
      </c>
      <c r="M70" s="206">
        <v>216750</v>
      </c>
      <c r="N70" s="96">
        <v>116260</v>
      </c>
      <c r="O70" s="206">
        <v>114046</v>
      </c>
      <c r="P70" s="96">
        <v>67957</v>
      </c>
      <c r="Q70" s="184">
        <f t="shared" si="2"/>
        <v>2844970</v>
      </c>
      <c r="R70" s="123"/>
    </row>
    <row r="71" spans="1:18" s="185" customFormat="1">
      <c r="A71" s="203"/>
      <c r="B71" s="204" t="s">
        <v>203</v>
      </c>
      <c r="C71" s="205"/>
      <c r="D71" s="90">
        <v>1787682</v>
      </c>
      <c r="E71" s="90">
        <v>109000</v>
      </c>
      <c r="F71" s="186">
        <v>153000</v>
      </c>
      <c r="G71" s="90">
        <v>249750</v>
      </c>
      <c r="H71" s="90">
        <v>192000</v>
      </c>
      <c r="I71" s="186">
        <v>248410</v>
      </c>
      <c r="J71" s="90">
        <v>146200</v>
      </c>
      <c r="K71" s="186">
        <v>139000</v>
      </c>
      <c r="L71" s="90">
        <v>139000</v>
      </c>
      <c r="M71" s="186">
        <v>167390</v>
      </c>
      <c r="N71" s="90">
        <v>81876</v>
      </c>
      <c r="O71" s="186">
        <v>80792</v>
      </c>
      <c r="P71" s="90">
        <v>81264</v>
      </c>
      <c r="Q71" s="184">
        <f t="shared" si="2"/>
        <v>1787682</v>
      </c>
      <c r="R71" s="123"/>
    </row>
    <row r="72" spans="1:18" s="183" customFormat="1">
      <c r="A72" s="216"/>
      <c r="B72" s="217" t="s">
        <v>200</v>
      </c>
      <c r="C72" s="218"/>
      <c r="D72" s="219">
        <v>474092</v>
      </c>
      <c r="E72" s="220">
        <f>35729+9429</f>
        <v>45158</v>
      </c>
      <c r="F72" s="221">
        <v>40500</v>
      </c>
      <c r="G72" s="220">
        <v>60431</v>
      </c>
      <c r="H72" s="220">
        <v>40500</v>
      </c>
      <c r="I72" s="221">
        <v>40623</v>
      </c>
      <c r="J72" s="220">
        <v>35776</v>
      </c>
      <c r="K72" s="221">
        <v>32960</v>
      </c>
      <c r="L72" s="220">
        <v>32960</v>
      </c>
      <c r="M72" s="221">
        <v>35560</v>
      </c>
      <c r="N72" s="220">
        <v>35570</v>
      </c>
      <c r="O72" s="221">
        <v>37057</v>
      </c>
      <c r="P72" s="220">
        <v>36997</v>
      </c>
      <c r="Q72" s="182">
        <f t="shared" si="2"/>
        <v>474092</v>
      </c>
      <c r="R72" s="123"/>
    </row>
    <row r="73" spans="1:18" s="183" customFormat="1">
      <c r="A73" s="203"/>
      <c r="B73" s="204" t="s">
        <v>204</v>
      </c>
      <c r="C73" s="205"/>
      <c r="D73" s="194">
        <v>878274</v>
      </c>
      <c r="E73" s="194">
        <v>64515</v>
      </c>
      <c r="F73" s="202">
        <v>74393</v>
      </c>
      <c r="G73" s="194">
        <v>112420</v>
      </c>
      <c r="H73" s="194">
        <v>113749</v>
      </c>
      <c r="I73" s="202">
        <v>88049</v>
      </c>
      <c r="J73" s="194">
        <v>65599</v>
      </c>
      <c r="K73" s="202">
        <v>68949</v>
      </c>
      <c r="L73" s="194">
        <v>68165</v>
      </c>
      <c r="M73" s="202">
        <v>71877</v>
      </c>
      <c r="N73" s="194">
        <v>57671</v>
      </c>
      <c r="O73" s="202">
        <v>49894</v>
      </c>
      <c r="P73" s="194">
        <v>42993</v>
      </c>
      <c r="Q73" s="182">
        <f>SUM(E73:P73)</f>
        <v>878274</v>
      </c>
      <c r="R73" s="123"/>
    </row>
    <row r="74" spans="1:18" s="185" customFormat="1">
      <c r="A74" s="203"/>
      <c r="B74" s="204" t="s">
        <v>205</v>
      </c>
      <c r="C74" s="205"/>
      <c r="D74" s="81">
        <v>389500</v>
      </c>
      <c r="E74" s="90">
        <v>38300</v>
      </c>
      <c r="F74" s="186">
        <v>34450</v>
      </c>
      <c r="G74" s="90">
        <v>54300</v>
      </c>
      <c r="H74" s="90">
        <v>31450</v>
      </c>
      <c r="I74" s="186">
        <v>31300</v>
      </c>
      <c r="J74" s="90">
        <v>33740</v>
      </c>
      <c r="K74" s="186">
        <v>28300</v>
      </c>
      <c r="L74" s="90">
        <v>27565</v>
      </c>
      <c r="M74" s="186">
        <v>27500</v>
      </c>
      <c r="N74" s="90">
        <v>27500</v>
      </c>
      <c r="O74" s="186">
        <v>27500</v>
      </c>
      <c r="P74" s="90">
        <v>27595</v>
      </c>
      <c r="Q74" s="184">
        <f t="shared" si="2"/>
        <v>389500</v>
      </c>
      <c r="R74" s="180"/>
    </row>
    <row r="75" spans="1:18" s="183" customFormat="1">
      <c r="A75" s="203"/>
      <c r="B75" s="204" t="s">
        <v>206</v>
      </c>
      <c r="C75" s="205"/>
      <c r="D75" s="90">
        <v>314401</v>
      </c>
      <c r="E75" s="90">
        <v>26800</v>
      </c>
      <c r="F75" s="186">
        <v>26800</v>
      </c>
      <c r="G75" s="90">
        <v>35000</v>
      </c>
      <c r="H75" s="90">
        <v>31000</v>
      </c>
      <c r="I75" s="186">
        <v>31000</v>
      </c>
      <c r="J75" s="90">
        <v>31000</v>
      </c>
      <c r="K75" s="186">
        <v>31000</v>
      </c>
      <c r="L75" s="90">
        <v>31000</v>
      </c>
      <c r="M75" s="186">
        <v>32000</v>
      </c>
      <c r="N75" s="90">
        <v>32000</v>
      </c>
      <c r="O75" s="186">
        <v>6801</v>
      </c>
      <c r="P75" s="90"/>
      <c r="Q75" s="182">
        <f t="shared" si="2"/>
        <v>314401</v>
      </c>
      <c r="R75" s="123"/>
    </row>
    <row r="76" spans="1:18" s="183" customFormat="1">
      <c r="A76" s="203"/>
      <c r="B76" s="201" t="s">
        <v>110</v>
      </c>
      <c r="C76" s="205">
        <v>80130</v>
      </c>
      <c r="D76" s="90">
        <f>SUM(D77:D82)</f>
        <v>10871388</v>
      </c>
      <c r="E76" s="90">
        <f t="shared" ref="E76:P76" si="26">SUM(E77:E82)</f>
        <v>1032761</v>
      </c>
      <c r="F76" s="90">
        <f t="shared" si="26"/>
        <v>975705</v>
      </c>
      <c r="G76" s="90">
        <f t="shared" si="26"/>
        <v>1437036</v>
      </c>
      <c r="H76" s="90">
        <f t="shared" si="26"/>
        <v>1270405</v>
      </c>
      <c r="I76" s="90">
        <f t="shared" si="26"/>
        <v>948932</v>
      </c>
      <c r="J76" s="90">
        <f t="shared" si="26"/>
        <v>880886</v>
      </c>
      <c r="K76" s="90">
        <f t="shared" si="26"/>
        <v>867088</v>
      </c>
      <c r="L76" s="90">
        <f t="shared" si="26"/>
        <v>874166</v>
      </c>
      <c r="M76" s="90">
        <f t="shared" si="26"/>
        <v>910255</v>
      </c>
      <c r="N76" s="90">
        <f t="shared" si="26"/>
        <v>770275</v>
      </c>
      <c r="O76" s="90">
        <f t="shared" si="26"/>
        <v>502031</v>
      </c>
      <c r="P76" s="90">
        <f t="shared" si="26"/>
        <v>401848</v>
      </c>
      <c r="Q76" s="182">
        <f t="shared" si="2"/>
        <v>10871388</v>
      </c>
      <c r="R76" s="123"/>
    </row>
    <row r="77" spans="1:18" s="183" customFormat="1">
      <c r="A77" s="203"/>
      <c r="B77" s="204" t="s">
        <v>201</v>
      </c>
      <c r="C77" s="205"/>
      <c r="D77" s="93">
        <v>3543838</v>
      </c>
      <c r="E77" s="90">
        <v>312880</v>
      </c>
      <c r="F77" s="186">
        <v>284807</v>
      </c>
      <c r="G77" s="96">
        <v>459000</v>
      </c>
      <c r="H77" s="96">
        <v>372000</v>
      </c>
      <c r="I77" s="206">
        <v>282000</v>
      </c>
      <c r="J77" s="96">
        <v>271000</v>
      </c>
      <c r="K77" s="206">
        <v>280000</v>
      </c>
      <c r="L77" s="96">
        <v>291231</v>
      </c>
      <c r="M77" s="206">
        <v>286500</v>
      </c>
      <c r="N77" s="96">
        <v>243420</v>
      </c>
      <c r="O77" s="206">
        <v>231000</v>
      </c>
      <c r="P77" s="96">
        <v>230000</v>
      </c>
      <c r="Q77" s="182">
        <f t="shared" si="2"/>
        <v>3543838</v>
      </c>
      <c r="R77" s="123"/>
    </row>
    <row r="78" spans="1:18" s="185" customFormat="1">
      <c r="A78" s="203"/>
      <c r="B78" s="204" t="s">
        <v>207</v>
      </c>
      <c r="C78" s="205"/>
      <c r="D78" s="81">
        <v>3611493</v>
      </c>
      <c r="E78" s="90">
        <v>357200</v>
      </c>
      <c r="F78" s="186">
        <v>357200</v>
      </c>
      <c r="G78" s="96">
        <v>509400</v>
      </c>
      <c r="H78" s="96">
        <v>462487</v>
      </c>
      <c r="I78" s="206">
        <v>329000</v>
      </c>
      <c r="J78" s="96">
        <v>310600</v>
      </c>
      <c r="K78" s="206">
        <v>295000</v>
      </c>
      <c r="L78" s="96">
        <v>295200</v>
      </c>
      <c r="M78" s="206">
        <v>307503</v>
      </c>
      <c r="N78" s="96">
        <v>290000</v>
      </c>
      <c r="O78" s="206">
        <v>94189</v>
      </c>
      <c r="P78" s="96">
        <v>3714</v>
      </c>
      <c r="Q78" s="184">
        <f t="shared" si="2"/>
        <v>3611493</v>
      </c>
      <c r="R78" s="123"/>
    </row>
    <row r="79" spans="1:18" s="183" customFormat="1">
      <c r="A79" s="203"/>
      <c r="B79" s="204" t="s">
        <v>200</v>
      </c>
      <c r="C79" s="205"/>
      <c r="D79" s="194">
        <v>2019020</v>
      </c>
      <c r="E79" s="194">
        <f>42531+166234</f>
        <v>208765</v>
      </c>
      <c r="F79" s="202">
        <v>171088</v>
      </c>
      <c r="G79" s="194">
        <v>229826</v>
      </c>
      <c r="H79" s="194">
        <v>221688</v>
      </c>
      <c r="I79" s="202">
        <v>171088</v>
      </c>
      <c r="J79" s="194">
        <v>153788</v>
      </c>
      <c r="K79" s="202">
        <v>140738</v>
      </c>
      <c r="L79" s="194">
        <v>140165</v>
      </c>
      <c r="M79" s="202">
        <v>153788</v>
      </c>
      <c r="N79" s="194">
        <v>153388</v>
      </c>
      <c r="O79" s="202">
        <v>140698</v>
      </c>
      <c r="P79" s="194">
        <v>134000</v>
      </c>
      <c r="Q79" s="182">
        <f t="shared" si="2"/>
        <v>2019020</v>
      </c>
      <c r="R79" s="123"/>
    </row>
    <row r="80" spans="1:18" s="183" customFormat="1">
      <c r="A80" s="203"/>
      <c r="B80" s="204" t="s">
        <v>204</v>
      </c>
      <c r="C80" s="205"/>
      <c r="D80" s="222">
        <v>1056994</v>
      </c>
      <c r="E80" s="194">
        <v>94816</v>
      </c>
      <c r="F80" s="202">
        <v>100310</v>
      </c>
      <c r="G80" s="222">
        <v>151510</v>
      </c>
      <c r="H80" s="222">
        <v>142930</v>
      </c>
      <c r="I80" s="223">
        <v>103544</v>
      </c>
      <c r="J80" s="222">
        <v>82100</v>
      </c>
      <c r="K80" s="223">
        <v>88350</v>
      </c>
      <c r="L80" s="222">
        <v>84570</v>
      </c>
      <c r="M80" s="223">
        <v>89464</v>
      </c>
      <c r="N80" s="222">
        <v>64940</v>
      </c>
      <c r="O80" s="223">
        <v>27944</v>
      </c>
      <c r="P80" s="222">
        <v>26516</v>
      </c>
      <c r="Q80" s="182">
        <f t="shared" si="2"/>
        <v>1056994</v>
      </c>
      <c r="R80" s="123"/>
    </row>
    <row r="81" spans="1:18" s="183" customFormat="1">
      <c r="A81" s="215"/>
      <c r="B81" s="204" t="s">
        <v>205</v>
      </c>
      <c r="C81" s="205"/>
      <c r="D81" s="81">
        <v>119516</v>
      </c>
      <c r="E81" s="90">
        <v>8000</v>
      </c>
      <c r="F81" s="186">
        <v>11200</v>
      </c>
      <c r="G81" s="90">
        <v>19300</v>
      </c>
      <c r="H81" s="90">
        <v>16300</v>
      </c>
      <c r="I81" s="186">
        <v>8300</v>
      </c>
      <c r="J81" s="90">
        <v>8398</v>
      </c>
      <c r="K81" s="186">
        <v>8000</v>
      </c>
      <c r="L81" s="90">
        <v>8000</v>
      </c>
      <c r="M81" s="186">
        <v>8000</v>
      </c>
      <c r="N81" s="90">
        <v>8200</v>
      </c>
      <c r="O81" s="186">
        <v>8200</v>
      </c>
      <c r="P81" s="90">
        <v>7618</v>
      </c>
      <c r="Q81" s="182">
        <f t="shared" si="2"/>
        <v>119516</v>
      </c>
      <c r="R81" s="123"/>
    </row>
    <row r="82" spans="1:18" s="185" customFormat="1">
      <c r="A82" s="203"/>
      <c r="B82" s="204" t="s">
        <v>206</v>
      </c>
      <c r="C82" s="205"/>
      <c r="D82" s="90">
        <v>520527</v>
      </c>
      <c r="E82" s="90">
        <v>51100</v>
      </c>
      <c r="F82" s="186">
        <v>51100</v>
      </c>
      <c r="G82" s="90">
        <v>68000</v>
      </c>
      <c r="H82" s="90">
        <v>55000</v>
      </c>
      <c r="I82" s="186">
        <v>55000</v>
      </c>
      <c r="J82" s="90">
        <v>55000</v>
      </c>
      <c r="K82" s="186">
        <v>55000</v>
      </c>
      <c r="L82" s="90">
        <v>55000</v>
      </c>
      <c r="M82" s="186">
        <v>65000</v>
      </c>
      <c r="N82" s="90">
        <v>10327</v>
      </c>
      <c r="O82" s="186"/>
      <c r="P82" s="90"/>
      <c r="Q82" s="184">
        <f t="shared" si="2"/>
        <v>520527</v>
      </c>
      <c r="R82" s="123"/>
    </row>
    <row r="83" spans="1:18" s="183" customFormat="1">
      <c r="A83" s="203"/>
      <c r="B83" s="201" t="s">
        <v>172</v>
      </c>
      <c r="C83" s="205">
        <v>80134</v>
      </c>
      <c r="D83" s="90">
        <v>1094541</v>
      </c>
      <c r="E83" s="213">
        <v>83500</v>
      </c>
      <c r="F83" s="214">
        <v>103400</v>
      </c>
      <c r="G83" s="213">
        <v>146400</v>
      </c>
      <c r="H83" s="213">
        <v>143400</v>
      </c>
      <c r="I83" s="214">
        <v>103400</v>
      </c>
      <c r="J83" s="213">
        <v>102573</v>
      </c>
      <c r="K83" s="214">
        <v>94600</v>
      </c>
      <c r="L83" s="213">
        <v>94600</v>
      </c>
      <c r="M83" s="214">
        <v>94600</v>
      </c>
      <c r="N83" s="213">
        <v>43500</v>
      </c>
      <c r="O83" s="214">
        <v>44963</v>
      </c>
      <c r="P83" s="213">
        <v>39605</v>
      </c>
      <c r="Q83" s="182">
        <f t="shared" si="2"/>
        <v>1094541</v>
      </c>
      <c r="R83" s="123"/>
    </row>
    <row r="84" spans="1:18" s="183" customFormat="1">
      <c r="A84" s="203"/>
      <c r="B84" s="201" t="s">
        <v>116</v>
      </c>
      <c r="C84" s="205">
        <v>80144</v>
      </c>
      <c r="D84" s="194">
        <v>129000</v>
      </c>
      <c r="E84" s="194">
        <f>1227+10300</f>
        <v>11527</v>
      </c>
      <c r="F84" s="202">
        <v>10300</v>
      </c>
      <c r="G84" s="194">
        <v>12332</v>
      </c>
      <c r="H84" s="194">
        <v>10300</v>
      </c>
      <c r="I84" s="202">
        <v>10300</v>
      </c>
      <c r="J84" s="194">
        <v>10300</v>
      </c>
      <c r="K84" s="202">
        <v>10300</v>
      </c>
      <c r="L84" s="194">
        <v>11441</v>
      </c>
      <c r="M84" s="202">
        <v>10300</v>
      </c>
      <c r="N84" s="194">
        <v>11300</v>
      </c>
      <c r="O84" s="202">
        <v>10300</v>
      </c>
      <c r="P84" s="194">
        <v>10300</v>
      </c>
      <c r="Q84" s="182">
        <f t="shared" si="2"/>
        <v>129000</v>
      </c>
      <c r="R84" s="123"/>
    </row>
    <row r="85" spans="1:18" s="183" customFormat="1">
      <c r="A85" s="215"/>
      <c r="B85" s="201" t="s">
        <v>173</v>
      </c>
      <c r="C85" s="205">
        <v>80146</v>
      </c>
      <c r="D85" s="90">
        <v>154968</v>
      </c>
      <c r="E85" s="90"/>
      <c r="F85" s="186"/>
      <c r="G85" s="90"/>
      <c r="H85" s="90"/>
      <c r="I85" s="186"/>
      <c r="J85" s="90"/>
      <c r="K85" s="186"/>
      <c r="L85" s="90"/>
      <c r="M85" s="186"/>
      <c r="N85" s="90"/>
      <c r="O85" s="186"/>
      <c r="P85" s="90">
        <v>154968</v>
      </c>
      <c r="Q85" s="182">
        <f t="shared" si="2"/>
        <v>154968</v>
      </c>
      <c r="R85" s="123"/>
    </row>
    <row r="86" spans="1:18" s="183" customFormat="1">
      <c r="A86" s="203"/>
      <c r="B86" s="201" t="s">
        <v>117</v>
      </c>
      <c r="C86" s="205">
        <v>80148</v>
      </c>
      <c r="D86" s="213">
        <v>105561</v>
      </c>
      <c r="E86" s="213">
        <v>10000</v>
      </c>
      <c r="F86" s="214">
        <v>9250</v>
      </c>
      <c r="G86" s="213">
        <v>13900</v>
      </c>
      <c r="H86" s="213">
        <v>14350</v>
      </c>
      <c r="I86" s="214">
        <v>11978</v>
      </c>
      <c r="J86" s="213">
        <v>11650</v>
      </c>
      <c r="K86" s="214">
        <v>4850</v>
      </c>
      <c r="L86" s="213">
        <v>4800</v>
      </c>
      <c r="M86" s="214">
        <v>10050</v>
      </c>
      <c r="N86" s="213">
        <v>5733</v>
      </c>
      <c r="O86" s="214">
        <v>5050</v>
      </c>
      <c r="P86" s="213">
        <v>3950</v>
      </c>
      <c r="Q86" s="182">
        <f t="shared" si="2"/>
        <v>105561</v>
      </c>
      <c r="R86" s="123"/>
    </row>
    <row r="87" spans="1:18" s="183" customFormat="1">
      <c r="A87" s="203"/>
      <c r="B87" s="201" t="s">
        <v>175</v>
      </c>
      <c r="C87" s="205">
        <v>80151</v>
      </c>
      <c r="D87" s="213">
        <f>SUM(D88:D89)</f>
        <v>418992</v>
      </c>
      <c r="E87" s="213">
        <f t="shared" ref="E87:P87" si="27">SUM(E88:E89)</f>
        <v>42004</v>
      </c>
      <c r="F87" s="213">
        <f t="shared" si="27"/>
        <v>34000</v>
      </c>
      <c r="G87" s="213">
        <f t="shared" si="27"/>
        <v>55824</v>
      </c>
      <c r="H87" s="213">
        <f t="shared" si="27"/>
        <v>30900</v>
      </c>
      <c r="I87" s="213">
        <f t="shared" si="27"/>
        <v>31000</v>
      </c>
      <c r="J87" s="213">
        <f t="shared" si="27"/>
        <v>42000</v>
      </c>
      <c r="K87" s="213">
        <f t="shared" si="27"/>
        <v>30549</v>
      </c>
      <c r="L87" s="213">
        <f t="shared" si="27"/>
        <v>29600</v>
      </c>
      <c r="M87" s="213">
        <f t="shared" si="27"/>
        <v>31306</v>
      </c>
      <c r="N87" s="213">
        <f t="shared" si="27"/>
        <v>30859</v>
      </c>
      <c r="O87" s="213">
        <f t="shared" si="27"/>
        <v>30800</v>
      </c>
      <c r="P87" s="213">
        <f t="shared" si="27"/>
        <v>30150</v>
      </c>
      <c r="Q87" s="182">
        <f t="shared" ref="Q87:Q153" si="28">SUM(E87:P87)</f>
        <v>418992</v>
      </c>
      <c r="R87" s="123"/>
    </row>
    <row r="88" spans="1:18" s="183" customFormat="1">
      <c r="A88" s="203"/>
      <c r="B88" s="204" t="s">
        <v>205</v>
      </c>
      <c r="C88" s="205"/>
      <c r="D88" s="213">
        <v>212399</v>
      </c>
      <c r="E88" s="213">
        <v>20000</v>
      </c>
      <c r="F88" s="214">
        <v>17300</v>
      </c>
      <c r="G88" s="213">
        <v>37200</v>
      </c>
      <c r="H88" s="213">
        <v>13200</v>
      </c>
      <c r="I88" s="214">
        <v>13300</v>
      </c>
      <c r="J88" s="213">
        <v>25300</v>
      </c>
      <c r="K88" s="214">
        <v>14949</v>
      </c>
      <c r="L88" s="213">
        <v>14000</v>
      </c>
      <c r="M88" s="214">
        <v>14200</v>
      </c>
      <c r="N88" s="213">
        <v>14200</v>
      </c>
      <c r="O88" s="214">
        <v>14200</v>
      </c>
      <c r="P88" s="213">
        <v>14550</v>
      </c>
      <c r="Q88" s="182">
        <f t="shared" si="28"/>
        <v>212399</v>
      </c>
      <c r="R88" s="123"/>
    </row>
    <row r="89" spans="1:18" s="183" customFormat="1">
      <c r="A89" s="203"/>
      <c r="B89" s="204" t="s">
        <v>208</v>
      </c>
      <c r="C89" s="205"/>
      <c r="D89" s="213">
        <v>206593</v>
      </c>
      <c r="E89" s="213">
        <f>5244+16760</f>
        <v>22004</v>
      </c>
      <c r="F89" s="214">
        <v>16700</v>
      </c>
      <c r="G89" s="213">
        <v>18624</v>
      </c>
      <c r="H89" s="213">
        <v>17700</v>
      </c>
      <c r="I89" s="214">
        <v>17700</v>
      </c>
      <c r="J89" s="213">
        <v>16700</v>
      </c>
      <c r="K89" s="214">
        <v>15600</v>
      </c>
      <c r="L89" s="213">
        <v>15600</v>
      </c>
      <c r="M89" s="214">
        <v>17106</v>
      </c>
      <c r="N89" s="213">
        <v>16659</v>
      </c>
      <c r="O89" s="214">
        <v>16600</v>
      </c>
      <c r="P89" s="213">
        <v>15600</v>
      </c>
      <c r="Q89" s="182">
        <f t="shared" si="28"/>
        <v>206593</v>
      </c>
      <c r="R89" s="123"/>
    </row>
    <row r="90" spans="1:18" s="183" customFormat="1">
      <c r="A90" s="203"/>
      <c r="B90" s="192" t="s">
        <v>174</v>
      </c>
      <c r="C90" s="205">
        <v>80152</v>
      </c>
      <c r="D90" s="213">
        <f>SUM(D91:D95)</f>
        <v>153995</v>
      </c>
      <c r="E90" s="213">
        <f t="shared" ref="E90:P90" si="29">SUM(E91:E95)</f>
        <v>8922</v>
      </c>
      <c r="F90" s="213">
        <f t="shared" si="29"/>
        <v>11537</v>
      </c>
      <c r="G90" s="213">
        <f t="shared" si="29"/>
        <v>20622</v>
      </c>
      <c r="H90" s="213">
        <f t="shared" si="29"/>
        <v>15886</v>
      </c>
      <c r="I90" s="213">
        <f t="shared" si="29"/>
        <v>15794</v>
      </c>
      <c r="J90" s="213">
        <f t="shared" si="29"/>
        <v>12492</v>
      </c>
      <c r="K90" s="213">
        <f t="shared" si="29"/>
        <v>11114</v>
      </c>
      <c r="L90" s="213">
        <f t="shared" si="29"/>
        <v>11069</v>
      </c>
      <c r="M90" s="213">
        <f t="shared" si="29"/>
        <v>13299</v>
      </c>
      <c r="N90" s="213">
        <f t="shared" si="29"/>
        <v>11427</v>
      </c>
      <c r="O90" s="213">
        <f t="shared" si="29"/>
        <v>10985</v>
      </c>
      <c r="P90" s="213">
        <f t="shared" si="29"/>
        <v>10848</v>
      </c>
      <c r="Q90" s="182"/>
      <c r="R90" s="123"/>
    </row>
    <row r="91" spans="1:18" s="183" customFormat="1">
      <c r="A91" s="203"/>
      <c r="B91" s="204" t="s">
        <v>262</v>
      </c>
      <c r="C91" s="205"/>
      <c r="D91" s="213">
        <v>6814</v>
      </c>
      <c r="E91" s="213">
        <v>590</v>
      </c>
      <c r="F91" s="214">
        <v>590</v>
      </c>
      <c r="G91" s="213">
        <v>2915</v>
      </c>
      <c r="H91" s="213">
        <v>1042</v>
      </c>
      <c r="I91" s="214">
        <v>590</v>
      </c>
      <c r="J91" s="213">
        <v>590</v>
      </c>
      <c r="K91" s="214">
        <v>250</v>
      </c>
      <c r="L91" s="213">
        <v>247</v>
      </c>
      <c r="M91" s="214"/>
      <c r="N91" s="213"/>
      <c r="O91" s="214"/>
      <c r="P91" s="213"/>
      <c r="Q91" s="182"/>
      <c r="R91" s="123"/>
    </row>
    <row r="92" spans="1:18" s="183" customFormat="1">
      <c r="A92" s="203"/>
      <c r="B92" s="204" t="s">
        <v>203</v>
      </c>
      <c r="C92" s="205"/>
      <c r="D92" s="213">
        <v>78340</v>
      </c>
      <c r="E92" s="213">
        <v>4318</v>
      </c>
      <c r="F92" s="214">
        <v>5818</v>
      </c>
      <c r="G92" s="213">
        <v>11039</v>
      </c>
      <c r="H92" s="213">
        <v>8018</v>
      </c>
      <c r="I92" s="214">
        <v>8161</v>
      </c>
      <c r="J92" s="213">
        <v>5879</v>
      </c>
      <c r="K92" s="214">
        <v>5718</v>
      </c>
      <c r="L92" s="213">
        <v>5718</v>
      </c>
      <c r="M92" s="214">
        <v>6498</v>
      </c>
      <c r="N92" s="213">
        <v>5718</v>
      </c>
      <c r="O92" s="214">
        <v>5779</v>
      </c>
      <c r="P92" s="213">
        <v>5676</v>
      </c>
      <c r="Q92" s="182"/>
      <c r="R92" s="123"/>
    </row>
    <row r="93" spans="1:18" s="183" customFormat="1">
      <c r="A93" s="203"/>
      <c r="B93" s="204" t="s">
        <v>207</v>
      </c>
      <c r="C93" s="205"/>
      <c r="D93" s="213">
        <v>14781</v>
      </c>
      <c r="E93" s="213"/>
      <c r="F93" s="214">
        <v>1341</v>
      </c>
      <c r="G93" s="213">
        <v>1371</v>
      </c>
      <c r="H93" s="213">
        <v>1341</v>
      </c>
      <c r="I93" s="214">
        <v>1341</v>
      </c>
      <c r="J93" s="213">
        <v>1341</v>
      </c>
      <c r="K93" s="214">
        <v>1341</v>
      </c>
      <c r="L93" s="213">
        <v>1341</v>
      </c>
      <c r="M93" s="214">
        <v>1341</v>
      </c>
      <c r="N93" s="213">
        <v>1341</v>
      </c>
      <c r="O93" s="214">
        <v>1341</v>
      </c>
      <c r="P93" s="213">
        <v>1341</v>
      </c>
      <c r="Q93" s="182"/>
      <c r="R93" s="123"/>
    </row>
    <row r="94" spans="1:18" s="183" customFormat="1">
      <c r="A94" s="203"/>
      <c r="B94" s="204" t="s">
        <v>204</v>
      </c>
      <c r="C94" s="205"/>
      <c r="D94" s="213">
        <v>43332</v>
      </c>
      <c r="E94" s="213">
        <v>2920</v>
      </c>
      <c r="F94" s="214">
        <v>2912</v>
      </c>
      <c r="G94" s="213">
        <v>4422</v>
      </c>
      <c r="H94" s="213">
        <v>4610</v>
      </c>
      <c r="I94" s="214">
        <v>4827</v>
      </c>
      <c r="J94" s="213">
        <v>3807</v>
      </c>
      <c r="K94" s="214">
        <v>2930</v>
      </c>
      <c r="L94" s="213">
        <v>2888</v>
      </c>
      <c r="M94" s="214">
        <v>4585</v>
      </c>
      <c r="N94" s="213">
        <v>3493</v>
      </c>
      <c r="O94" s="214">
        <v>2990</v>
      </c>
      <c r="P94" s="213">
        <v>2948</v>
      </c>
      <c r="Q94" s="182"/>
      <c r="R94" s="123"/>
    </row>
    <row r="95" spans="1:18" s="183" customFormat="1">
      <c r="A95" s="203"/>
      <c r="B95" s="204" t="s">
        <v>208</v>
      </c>
      <c r="C95" s="205"/>
      <c r="D95" s="213">
        <v>10728</v>
      </c>
      <c r="E95" s="213">
        <f>231+863</f>
        <v>1094</v>
      </c>
      <c r="F95" s="214">
        <v>876</v>
      </c>
      <c r="G95" s="213">
        <v>875</v>
      </c>
      <c r="H95" s="213">
        <v>875</v>
      </c>
      <c r="I95" s="214">
        <v>875</v>
      </c>
      <c r="J95" s="213">
        <v>875</v>
      </c>
      <c r="K95" s="214">
        <v>875</v>
      </c>
      <c r="L95" s="213">
        <v>875</v>
      </c>
      <c r="M95" s="214">
        <v>875</v>
      </c>
      <c r="N95" s="213">
        <v>875</v>
      </c>
      <c r="O95" s="214">
        <v>875</v>
      </c>
      <c r="P95" s="213">
        <v>883</v>
      </c>
      <c r="Q95" s="182"/>
      <c r="R95" s="123"/>
    </row>
    <row r="96" spans="1:18" s="183" customFormat="1">
      <c r="A96" s="215"/>
      <c r="B96" s="201" t="s">
        <v>70</v>
      </c>
      <c r="C96" s="205">
        <v>80195</v>
      </c>
      <c r="D96" s="213">
        <f>SUM(D97:D99)</f>
        <v>1739657</v>
      </c>
      <c r="E96" s="213">
        <f t="shared" ref="E96:P96" si="30">SUM(E97:E99)</f>
        <v>22697</v>
      </c>
      <c r="F96" s="213">
        <f t="shared" si="30"/>
        <v>13900</v>
      </c>
      <c r="G96" s="213">
        <f t="shared" si="30"/>
        <v>19625</v>
      </c>
      <c r="H96" s="213">
        <f t="shared" si="30"/>
        <v>16609</v>
      </c>
      <c r="I96" s="213">
        <f t="shared" si="30"/>
        <v>15611</v>
      </c>
      <c r="J96" s="213">
        <f t="shared" si="30"/>
        <v>15611</v>
      </c>
      <c r="K96" s="213">
        <f t="shared" si="30"/>
        <v>17111</v>
      </c>
      <c r="L96" s="213">
        <f t="shared" si="30"/>
        <v>18758</v>
      </c>
      <c r="M96" s="213">
        <f t="shared" si="30"/>
        <v>25510</v>
      </c>
      <c r="N96" s="213">
        <f t="shared" si="30"/>
        <v>15510</v>
      </c>
      <c r="O96" s="213">
        <f t="shared" si="30"/>
        <v>15510</v>
      </c>
      <c r="P96" s="213">
        <f t="shared" si="30"/>
        <v>1543205</v>
      </c>
      <c r="Q96" s="182">
        <f t="shared" si="28"/>
        <v>1739657</v>
      </c>
      <c r="R96" s="123"/>
    </row>
    <row r="97" spans="1:18" s="183" customFormat="1">
      <c r="A97" s="203"/>
      <c r="B97" s="204" t="s">
        <v>209</v>
      </c>
      <c r="C97" s="224"/>
      <c r="D97" s="194">
        <v>1570182</v>
      </c>
      <c r="E97" s="194">
        <v>8750</v>
      </c>
      <c r="F97" s="202"/>
      <c r="G97" s="194">
        <v>5725</v>
      </c>
      <c r="H97" s="194">
        <v>2709</v>
      </c>
      <c r="I97" s="202">
        <v>1711</v>
      </c>
      <c r="J97" s="194">
        <v>1711</v>
      </c>
      <c r="K97" s="202">
        <v>1711</v>
      </c>
      <c r="L97" s="194">
        <v>3315</v>
      </c>
      <c r="M97" s="202">
        <v>11710</v>
      </c>
      <c r="N97" s="194">
        <v>1710</v>
      </c>
      <c r="O97" s="202">
        <v>1710</v>
      </c>
      <c r="P97" s="194">
        <v>1529420</v>
      </c>
      <c r="Q97" s="182">
        <f t="shared" si="28"/>
        <v>1570182</v>
      </c>
      <c r="R97" s="123"/>
    </row>
    <row r="98" spans="1:18" s="183" customFormat="1">
      <c r="A98" s="203"/>
      <c r="B98" s="204" t="s">
        <v>261</v>
      </c>
      <c r="C98" s="224"/>
      <c r="D98" s="194">
        <v>156000</v>
      </c>
      <c r="E98" s="194">
        <v>13000</v>
      </c>
      <c r="F98" s="202">
        <v>13000</v>
      </c>
      <c r="G98" s="194">
        <v>13000</v>
      </c>
      <c r="H98" s="194">
        <v>13000</v>
      </c>
      <c r="I98" s="202">
        <v>13000</v>
      </c>
      <c r="J98" s="194">
        <v>13000</v>
      </c>
      <c r="K98" s="202">
        <v>13000</v>
      </c>
      <c r="L98" s="194">
        <v>13000</v>
      </c>
      <c r="M98" s="202">
        <v>13000</v>
      </c>
      <c r="N98" s="194">
        <v>13000</v>
      </c>
      <c r="O98" s="202">
        <v>13000</v>
      </c>
      <c r="P98" s="194">
        <v>13000</v>
      </c>
      <c r="Q98" s="182"/>
      <c r="R98" s="123"/>
    </row>
    <row r="99" spans="1:18" s="183" customFormat="1">
      <c r="A99" s="215"/>
      <c r="B99" s="204" t="s">
        <v>203</v>
      </c>
      <c r="C99" s="205"/>
      <c r="D99" s="90">
        <v>13475</v>
      </c>
      <c r="E99" s="90">
        <v>947</v>
      </c>
      <c r="F99" s="186">
        <v>900</v>
      </c>
      <c r="G99" s="90">
        <v>900</v>
      </c>
      <c r="H99" s="90">
        <v>900</v>
      </c>
      <c r="I99" s="186">
        <v>900</v>
      </c>
      <c r="J99" s="90">
        <v>900</v>
      </c>
      <c r="K99" s="186">
        <v>2400</v>
      </c>
      <c r="L99" s="90">
        <v>2443</v>
      </c>
      <c r="M99" s="186">
        <v>800</v>
      </c>
      <c r="N99" s="90">
        <v>800</v>
      </c>
      <c r="O99" s="186">
        <v>800</v>
      </c>
      <c r="P99" s="90">
        <v>785</v>
      </c>
      <c r="Q99" s="182">
        <f t="shared" si="28"/>
        <v>13475</v>
      </c>
      <c r="R99" s="123"/>
    </row>
    <row r="100" spans="1:18">
      <c r="A100" s="164">
        <v>851</v>
      </c>
      <c r="B100" s="161" t="s">
        <v>119</v>
      </c>
      <c r="C100" s="167"/>
      <c r="D100" s="106">
        <f>SUM(D101+D104+D105+D106+D109)</f>
        <v>1530060</v>
      </c>
      <c r="E100" s="106">
        <f t="shared" ref="E100" si="31">SUM(E101+E104+E105+E106+E109)</f>
        <v>3500</v>
      </c>
      <c r="F100" s="107">
        <f t="shared" ref="F100:P100" si="32">SUM(F101+F104+F105+F106+F109)</f>
        <v>129705</v>
      </c>
      <c r="G100" s="106">
        <f t="shared" si="32"/>
        <v>117115</v>
      </c>
      <c r="H100" s="106">
        <f t="shared" si="32"/>
        <v>119115</v>
      </c>
      <c r="I100" s="107">
        <f t="shared" si="32"/>
        <v>120115</v>
      </c>
      <c r="J100" s="106">
        <f t="shared" si="32"/>
        <v>123375</v>
      </c>
      <c r="K100" s="107">
        <f t="shared" si="32"/>
        <v>119115</v>
      </c>
      <c r="L100" s="106">
        <f t="shared" si="32"/>
        <v>117115</v>
      </c>
      <c r="M100" s="107">
        <f t="shared" si="32"/>
        <v>119115</v>
      </c>
      <c r="N100" s="106">
        <f t="shared" si="32"/>
        <v>117115</v>
      </c>
      <c r="O100" s="107">
        <f t="shared" si="32"/>
        <v>119115</v>
      </c>
      <c r="P100" s="106">
        <f t="shared" si="32"/>
        <v>325560</v>
      </c>
      <c r="Q100" s="123">
        <f t="shared" si="28"/>
        <v>1530060</v>
      </c>
      <c r="R100" s="123"/>
    </row>
    <row r="101" spans="1:18" s="183" customFormat="1">
      <c r="A101" s="203"/>
      <c r="B101" s="201" t="s">
        <v>176</v>
      </c>
      <c r="C101" s="205">
        <v>85111</v>
      </c>
      <c r="D101" s="194">
        <f>SUM(D102:D103)</f>
        <v>109660</v>
      </c>
      <c r="E101" s="194">
        <f t="shared" ref="E101:Q101" si="33">SUM(E102:E103)</f>
        <v>0</v>
      </c>
      <c r="F101" s="194">
        <f t="shared" si="33"/>
        <v>13045</v>
      </c>
      <c r="G101" s="194">
        <f t="shared" si="33"/>
        <v>455</v>
      </c>
      <c r="H101" s="194">
        <f t="shared" si="33"/>
        <v>455</v>
      </c>
      <c r="I101" s="194">
        <f t="shared" si="33"/>
        <v>455</v>
      </c>
      <c r="J101" s="194">
        <f t="shared" si="33"/>
        <v>455</v>
      </c>
      <c r="K101" s="194">
        <f t="shared" si="33"/>
        <v>455</v>
      </c>
      <c r="L101" s="194">
        <f t="shared" si="33"/>
        <v>455</v>
      </c>
      <c r="M101" s="194">
        <f t="shared" si="33"/>
        <v>455</v>
      </c>
      <c r="N101" s="194">
        <f t="shared" si="33"/>
        <v>455</v>
      </c>
      <c r="O101" s="194">
        <f t="shared" si="33"/>
        <v>455</v>
      </c>
      <c r="P101" s="194">
        <f t="shared" si="33"/>
        <v>92520</v>
      </c>
      <c r="Q101" s="194">
        <f t="shared" si="33"/>
        <v>0</v>
      </c>
      <c r="R101" s="123"/>
    </row>
    <row r="102" spans="1:18" s="183" customFormat="1">
      <c r="A102" s="203"/>
      <c r="B102" s="204" t="s">
        <v>265</v>
      </c>
      <c r="C102" s="205"/>
      <c r="D102" s="194">
        <v>97070</v>
      </c>
      <c r="E102" s="194"/>
      <c r="F102" s="202">
        <v>455</v>
      </c>
      <c r="G102" s="194">
        <v>455</v>
      </c>
      <c r="H102" s="194">
        <v>455</v>
      </c>
      <c r="I102" s="202">
        <v>455</v>
      </c>
      <c r="J102" s="194">
        <v>455</v>
      </c>
      <c r="K102" s="202">
        <v>455</v>
      </c>
      <c r="L102" s="194">
        <v>455</v>
      </c>
      <c r="M102" s="202">
        <v>455</v>
      </c>
      <c r="N102" s="194">
        <v>455</v>
      </c>
      <c r="O102" s="202">
        <v>455</v>
      </c>
      <c r="P102" s="194">
        <f>92070+450</f>
        <v>92520</v>
      </c>
      <c r="Q102" s="182"/>
      <c r="R102" s="123"/>
    </row>
    <row r="103" spans="1:18" s="183" customFormat="1">
      <c r="A103" s="203"/>
      <c r="B103" s="204" t="s">
        <v>198</v>
      </c>
      <c r="C103" s="205"/>
      <c r="D103" s="194">
        <v>12590</v>
      </c>
      <c r="E103" s="194"/>
      <c r="F103" s="202">
        <v>12590</v>
      </c>
      <c r="G103" s="194"/>
      <c r="H103" s="194"/>
      <c r="I103" s="202"/>
      <c r="J103" s="194"/>
      <c r="K103" s="202"/>
      <c r="L103" s="194"/>
      <c r="M103" s="202"/>
      <c r="N103" s="194"/>
      <c r="O103" s="202"/>
      <c r="P103" s="194"/>
      <c r="Q103" s="182"/>
      <c r="R103" s="123"/>
    </row>
    <row r="104" spans="1:18" s="183" customFormat="1">
      <c r="A104" s="203"/>
      <c r="B104" s="201" t="s">
        <v>177</v>
      </c>
      <c r="C104" s="205">
        <v>85152</v>
      </c>
      <c r="D104" s="90">
        <v>7260</v>
      </c>
      <c r="E104" s="90"/>
      <c r="F104" s="186"/>
      <c r="G104" s="90"/>
      <c r="H104" s="90"/>
      <c r="I104" s="186">
        <v>3000</v>
      </c>
      <c r="J104" s="90">
        <v>4260</v>
      </c>
      <c r="K104" s="186"/>
      <c r="L104" s="90"/>
      <c r="M104" s="186"/>
      <c r="N104" s="90"/>
      <c r="O104" s="186"/>
      <c r="P104" s="90"/>
      <c r="Q104" s="182">
        <f t="shared" si="28"/>
        <v>7260</v>
      </c>
      <c r="R104" s="123"/>
    </row>
    <row r="105" spans="1:18" s="183" customFormat="1">
      <c r="A105" s="203"/>
      <c r="B105" s="201" t="s">
        <v>178</v>
      </c>
      <c r="C105" s="205">
        <v>85154</v>
      </c>
      <c r="D105" s="194">
        <v>4200</v>
      </c>
      <c r="E105" s="194"/>
      <c r="F105" s="202"/>
      <c r="G105" s="194"/>
      <c r="H105" s="194"/>
      <c r="I105" s="202"/>
      <c r="J105" s="194">
        <v>2000</v>
      </c>
      <c r="K105" s="202"/>
      <c r="L105" s="194"/>
      <c r="M105" s="202"/>
      <c r="N105" s="194"/>
      <c r="O105" s="202"/>
      <c r="P105" s="194">
        <v>2200</v>
      </c>
      <c r="Q105" s="182">
        <f t="shared" si="28"/>
        <v>4200</v>
      </c>
      <c r="R105" s="123"/>
    </row>
    <row r="106" spans="1:18" s="183" customFormat="1">
      <c r="A106" s="215"/>
      <c r="B106" s="201" t="s">
        <v>120</v>
      </c>
      <c r="C106" s="205">
        <v>85156</v>
      </c>
      <c r="D106" s="90">
        <f>SUM(D107:D108)</f>
        <v>1398400</v>
      </c>
      <c r="E106" s="90">
        <f t="shared" ref="E106:P106" si="34">SUM(E107:E108)</f>
        <v>3500</v>
      </c>
      <c r="F106" s="90">
        <f t="shared" si="34"/>
        <v>116660</v>
      </c>
      <c r="G106" s="90">
        <f t="shared" si="34"/>
        <v>116660</v>
      </c>
      <c r="H106" s="90">
        <f t="shared" si="34"/>
        <v>116660</v>
      </c>
      <c r="I106" s="90">
        <f t="shared" si="34"/>
        <v>116660</v>
      </c>
      <c r="J106" s="90">
        <f t="shared" si="34"/>
        <v>116660</v>
      </c>
      <c r="K106" s="90">
        <f t="shared" si="34"/>
        <v>116660</v>
      </c>
      <c r="L106" s="90">
        <f t="shared" si="34"/>
        <v>116660</v>
      </c>
      <c r="M106" s="90">
        <f t="shared" si="34"/>
        <v>116660</v>
      </c>
      <c r="N106" s="90">
        <f t="shared" si="34"/>
        <v>116660</v>
      </c>
      <c r="O106" s="90">
        <f t="shared" si="34"/>
        <v>116660</v>
      </c>
      <c r="P106" s="90">
        <f t="shared" si="34"/>
        <v>228300</v>
      </c>
      <c r="Q106" s="182">
        <f t="shared" si="28"/>
        <v>1398400</v>
      </c>
      <c r="R106" s="123"/>
    </row>
    <row r="107" spans="1:18" s="183" customFormat="1">
      <c r="A107" s="203"/>
      <c r="B107" s="204" t="s">
        <v>210</v>
      </c>
      <c r="C107" s="205"/>
      <c r="D107" s="90">
        <v>13500</v>
      </c>
      <c r="E107" s="90"/>
      <c r="F107" s="186">
        <v>1160</v>
      </c>
      <c r="G107" s="90">
        <v>1160</v>
      </c>
      <c r="H107" s="90">
        <v>1160</v>
      </c>
      <c r="I107" s="186">
        <v>1160</v>
      </c>
      <c r="J107" s="90">
        <v>1160</v>
      </c>
      <c r="K107" s="186">
        <v>1160</v>
      </c>
      <c r="L107" s="90">
        <v>1160</v>
      </c>
      <c r="M107" s="186">
        <v>1160</v>
      </c>
      <c r="N107" s="90">
        <v>1160</v>
      </c>
      <c r="O107" s="186">
        <v>1160</v>
      </c>
      <c r="P107" s="90">
        <v>1900</v>
      </c>
      <c r="Q107" s="182">
        <f t="shared" si="28"/>
        <v>13500</v>
      </c>
      <c r="R107" s="123"/>
    </row>
    <row r="108" spans="1:18" s="183" customFormat="1">
      <c r="A108" s="203"/>
      <c r="B108" s="204" t="s">
        <v>211</v>
      </c>
      <c r="C108" s="205"/>
      <c r="D108" s="194">
        <v>1384900</v>
      </c>
      <c r="E108" s="194">
        <v>3500</v>
      </c>
      <c r="F108" s="202">
        <v>115500</v>
      </c>
      <c r="G108" s="194">
        <v>115500</v>
      </c>
      <c r="H108" s="194">
        <v>115500</v>
      </c>
      <c r="I108" s="202">
        <v>115500</v>
      </c>
      <c r="J108" s="194">
        <v>115500</v>
      </c>
      <c r="K108" s="202">
        <v>115500</v>
      </c>
      <c r="L108" s="194">
        <v>115500</v>
      </c>
      <c r="M108" s="202">
        <v>115500</v>
      </c>
      <c r="N108" s="194">
        <v>115500</v>
      </c>
      <c r="O108" s="202">
        <v>115500</v>
      </c>
      <c r="P108" s="194">
        <v>226400</v>
      </c>
      <c r="Q108" s="182">
        <f t="shared" si="28"/>
        <v>1384900</v>
      </c>
      <c r="R108" s="123"/>
    </row>
    <row r="109" spans="1:18" s="183" customFormat="1">
      <c r="A109" s="203"/>
      <c r="B109" s="201" t="s">
        <v>70</v>
      </c>
      <c r="C109" s="205">
        <v>85195</v>
      </c>
      <c r="D109" s="90">
        <v>10540</v>
      </c>
      <c r="E109" s="90"/>
      <c r="F109" s="186"/>
      <c r="G109" s="90"/>
      <c r="H109" s="90">
        <v>2000</v>
      </c>
      <c r="I109" s="186"/>
      <c r="J109" s="90"/>
      <c r="K109" s="186">
        <v>2000</v>
      </c>
      <c r="L109" s="90"/>
      <c r="M109" s="186">
        <v>2000</v>
      </c>
      <c r="N109" s="90"/>
      <c r="O109" s="186">
        <v>2000</v>
      </c>
      <c r="P109" s="90">
        <v>2540</v>
      </c>
      <c r="Q109" s="182">
        <f t="shared" si="28"/>
        <v>10540</v>
      </c>
      <c r="R109" s="123"/>
    </row>
    <row r="110" spans="1:18">
      <c r="A110" s="164">
        <v>852</v>
      </c>
      <c r="B110" s="161" t="s">
        <v>123</v>
      </c>
      <c r="C110" s="167"/>
      <c r="D110" s="78">
        <f>SUM(D111+D114+D118+D119+D120)</f>
        <v>9481327</v>
      </c>
      <c r="E110" s="78">
        <f t="shared" ref="E110:Q110" si="35">SUM(E111+E114+E118+E119+E120)</f>
        <v>573242</v>
      </c>
      <c r="F110" s="78">
        <f t="shared" si="35"/>
        <v>920908</v>
      </c>
      <c r="G110" s="78">
        <f t="shared" si="35"/>
        <v>1096419</v>
      </c>
      <c r="H110" s="78">
        <f t="shared" si="35"/>
        <v>883223</v>
      </c>
      <c r="I110" s="79">
        <f t="shared" si="35"/>
        <v>800257</v>
      </c>
      <c r="J110" s="78">
        <f t="shared" si="35"/>
        <v>762611</v>
      </c>
      <c r="K110" s="79">
        <f t="shared" si="35"/>
        <v>750239</v>
      </c>
      <c r="L110" s="78">
        <f t="shared" si="35"/>
        <v>751379</v>
      </c>
      <c r="M110" s="79">
        <f t="shared" si="35"/>
        <v>732726</v>
      </c>
      <c r="N110" s="78">
        <f t="shared" si="35"/>
        <v>759780</v>
      </c>
      <c r="O110" s="79">
        <f t="shared" si="35"/>
        <v>782911</v>
      </c>
      <c r="P110" s="78">
        <f t="shared" si="35"/>
        <v>667632</v>
      </c>
      <c r="Q110" s="277">
        <f t="shared" si="35"/>
        <v>9481327</v>
      </c>
      <c r="R110" s="123"/>
    </row>
    <row r="111" spans="1:18" s="183" customFormat="1">
      <c r="A111" s="203"/>
      <c r="B111" s="201" t="s">
        <v>124</v>
      </c>
      <c r="C111" s="205">
        <v>85202</v>
      </c>
      <c r="D111" s="90">
        <f>SUM(D112:D113)</f>
        <v>6674567</v>
      </c>
      <c r="E111" s="90">
        <f t="shared" ref="E111:P111" si="36">SUM(E112:E113)</f>
        <v>371939</v>
      </c>
      <c r="F111" s="90">
        <f t="shared" si="36"/>
        <v>694123</v>
      </c>
      <c r="G111" s="90">
        <f t="shared" si="36"/>
        <v>760071</v>
      </c>
      <c r="H111" s="90">
        <f t="shared" si="36"/>
        <v>636240</v>
      </c>
      <c r="I111" s="90">
        <f t="shared" si="36"/>
        <v>548356</v>
      </c>
      <c r="J111" s="90">
        <f t="shared" si="36"/>
        <v>541126</v>
      </c>
      <c r="K111" s="90">
        <f t="shared" si="36"/>
        <v>530754</v>
      </c>
      <c r="L111" s="90">
        <f t="shared" si="36"/>
        <v>531694</v>
      </c>
      <c r="M111" s="90">
        <f t="shared" si="36"/>
        <v>496998</v>
      </c>
      <c r="N111" s="90">
        <f t="shared" si="36"/>
        <v>538599</v>
      </c>
      <c r="O111" s="90">
        <f t="shared" si="36"/>
        <v>559426</v>
      </c>
      <c r="P111" s="90">
        <f t="shared" si="36"/>
        <v>465241</v>
      </c>
      <c r="Q111" s="182">
        <f t="shared" si="28"/>
        <v>6674567</v>
      </c>
      <c r="R111" s="123"/>
    </row>
    <row r="112" spans="1:18" s="183" customFormat="1">
      <c r="A112" s="203"/>
      <c r="B112" s="204" t="s">
        <v>212</v>
      </c>
      <c r="C112" s="205"/>
      <c r="D112" s="90">
        <v>2974246</v>
      </c>
      <c r="E112" s="90">
        <v>144830</v>
      </c>
      <c r="F112" s="186">
        <v>343222</v>
      </c>
      <c r="G112" s="90">
        <v>323781</v>
      </c>
      <c r="H112" s="90">
        <v>254170</v>
      </c>
      <c r="I112" s="186">
        <v>249720</v>
      </c>
      <c r="J112" s="90">
        <v>242490</v>
      </c>
      <c r="K112" s="186">
        <v>232118</v>
      </c>
      <c r="L112" s="90">
        <v>233058</v>
      </c>
      <c r="M112" s="186">
        <v>198362</v>
      </c>
      <c r="N112" s="90">
        <v>239963</v>
      </c>
      <c r="O112" s="186">
        <v>260790</v>
      </c>
      <c r="P112" s="90">
        <v>251742</v>
      </c>
      <c r="Q112" s="182">
        <f t="shared" si="28"/>
        <v>2974246</v>
      </c>
      <c r="R112" s="123"/>
    </row>
    <row r="113" spans="1:19" s="183" customFormat="1">
      <c r="A113" s="215"/>
      <c r="B113" s="204" t="s">
        <v>213</v>
      </c>
      <c r="C113" s="205"/>
      <c r="D113" s="90">
        <v>3700321</v>
      </c>
      <c r="E113" s="90">
        <v>227109</v>
      </c>
      <c r="F113" s="186">
        <v>350901</v>
      </c>
      <c r="G113" s="90">
        <v>436290</v>
      </c>
      <c r="H113" s="90">
        <v>382070</v>
      </c>
      <c r="I113" s="186">
        <v>298636</v>
      </c>
      <c r="J113" s="90">
        <v>298636</v>
      </c>
      <c r="K113" s="186">
        <v>298636</v>
      </c>
      <c r="L113" s="90">
        <v>298636</v>
      </c>
      <c r="M113" s="186">
        <v>298636</v>
      </c>
      <c r="N113" s="90">
        <v>298636</v>
      </c>
      <c r="O113" s="186">
        <v>298636</v>
      </c>
      <c r="P113" s="90">
        <v>213499</v>
      </c>
      <c r="Q113" s="182">
        <f t="shared" si="28"/>
        <v>3700321</v>
      </c>
      <c r="R113" s="123"/>
    </row>
    <row r="114" spans="1:19" s="183" customFormat="1">
      <c r="A114" s="215"/>
      <c r="B114" s="201" t="s">
        <v>128</v>
      </c>
      <c r="C114" s="205">
        <v>85203</v>
      </c>
      <c r="D114" s="90">
        <f>SUM(D115:D117)</f>
        <v>1837332</v>
      </c>
      <c r="E114" s="90">
        <f t="shared" ref="E114:P114" si="37">SUM(E115:E117)</f>
        <v>144931</v>
      </c>
      <c r="F114" s="90">
        <f t="shared" si="37"/>
        <v>144931</v>
      </c>
      <c r="G114" s="90">
        <f t="shared" si="37"/>
        <v>210824</v>
      </c>
      <c r="H114" s="90">
        <f t="shared" si="37"/>
        <v>156272</v>
      </c>
      <c r="I114" s="90">
        <f t="shared" si="37"/>
        <v>156273</v>
      </c>
      <c r="J114" s="90">
        <f t="shared" si="37"/>
        <v>145931</v>
      </c>
      <c r="K114" s="90">
        <f t="shared" si="37"/>
        <v>144931</v>
      </c>
      <c r="L114" s="90">
        <f t="shared" si="37"/>
        <v>144931</v>
      </c>
      <c r="M114" s="90">
        <f t="shared" si="37"/>
        <v>152484</v>
      </c>
      <c r="N114" s="90">
        <f t="shared" si="37"/>
        <v>144927</v>
      </c>
      <c r="O114" s="90">
        <f t="shared" si="37"/>
        <v>145931</v>
      </c>
      <c r="P114" s="90">
        <f t="shared" si="37"/>
        <v>144966</v>
      </c>
      <c r="Q114" s="182">
        <f t="shared" si="28"/>
        <v>1837332</v>
      </c>
      <c r="R114" s="123"/>
    </row>
    <row r="115" spans="1:19" s="183" customFormat="1">
      <c r="A115" s="215"/>
      <c r="B115" s="204" t="s">
        <v>214</v>
      </c>
      <c r="C115" s="205"/>
      <c r="D115" s="90">
        <v>524952</v>
      </c>
      <c r="E115" s="90">
        <v>41501</v>
      </c>
      <c r="F115" s="186">
        <v>41501</v>
      </c>
      <c r="G115" s="90">
        <v>60124</v>
      </c>
      <c r="H115" s="90">
        <v>44613</v>
      </c>
      <c r="I115" s="186">
        <v>44614</v>
      </c>
      <c r="J115" s="90">
        <v>41501</v>
      </c>
      <c r="K115" s="186">
        <v>41501</v>
      </c>
      <c r="L115" s="90">
        <v>41501</v>
      </c>
      <c r="M115" s="186">
        <v>43576</v>
      </c>
      <c r="N115" s="90">
        <v>41501</v>
      </c>
      <c r="O115" s="186">
        <v>41501</v>
      </c>
      <c r="P115" s="90">
        <v>41518</v>
      </c>
      <c r="Q115" s="182">
        <f t="shared" si="28"/>
        <v>524952</v>
      </c>
      <c r="R115" s="123"/>
    </row>
    <row r="116" spans="1:19" s="183" customFormat="1">
      <c r="A116" s="215"/>
      <c r="B116" s="204" t="s">
        <v>215</v>
      </c>
      <c r="C116" s="205"/>
      <c r="D116" s="90">
        <v>612444</v>
      </c>
      <c r="E116" s="90">
        <v>48387</v>
      </c>
      <c r="F116" s="186">
        <v>48387</v>
      </c>
      <c r="G116" s="90">
        <v>69704</v>
      </c>
      <c r="H116" s="90">
        <v>51947</v>
      </c>
      <c r="I116" s="186">
        <v>51947</v>
      </c>
      <c r="J116" s="90">
        <v>48887</v>
      </c>
      <c r="K116" s="186">
        <v>48387</v>
      </c>
      <c r="L116" s="90">
        <v>48387</v>
      </c>
      <c r="M116" s="186">
        <v>50753</v>
      </c>
      <c r="N116" s="90">
        <v>48383</v>
      </c>
      <c r="O116" s="186">
        <v>48887</v>
      </c>
      <c r="P116" s="90">
        <v>48388</v>
      </c>
      <c r="Q116" s="182">
        <f t="shared" si="28"/>
        <v>612444</v>
      </c>
      <c r="R116" s="123"/>
    </row>
    <row r="117" spans="1:19" s="183" customFormat="1">
      <c r="A117" s="215"/>
      <c r="B117" s="204" t="s">
        <v>216</v>
      </c>
      <c r="C117" s="205"/>
      <c r="D117" s="90">
        <v>699936</v>
      </c>
      <c r="E117" s="90">
        <v>55043</v>
      </c>
      <c r="F117" s="186">
        <v>55043</v>
      </c>
      <c r="G117" s="90">
        <v>80996</v>
      </c>
      <c r="H117" s="90">
        <v>59712</v>
      </c>
      <c r="I117" s="186">
        <v>59712</v>
      </c>
      <c r="J117" s="90">
        <v>55543</v>
      </c>
      <c r="K117" s="186">
        <v>55043</v>
      </c>
      <c r="L117" s="90">
        <v>55043</v>
      </c>
      <c r="M117" s="186">
        <v>58155</v>
      </c>
      <c r="N117" s="90">
        <v>55043</v>
      </c>
      <c r="O117" s="186">
        <v>55543</v>
      </c>
      <c r="P117" s="90">
        <v>55060</v>
      </c>
      <c r="Q117" s="182">
        <f t="shared" si="28"/>
        <v>699936</v>
      </c>
      <c r="R117" s="123"/>
    </row>
    <row r="118" spans="1:19" s="183" customFormat="1">
      <c r="A118" s="203"/>
      <c r="B118" s="201" t="s">
        <v>180</v>
      </c>
      <c r="C118" s="205">
        <v>85218</v>
      </c>
      <c r="D118" s="90">
        <v>848000</v>
      </c>
      <c r="E118" s="90">
        <v>51400</v>
      </c>
      <c r="F118" s="186">
        <v>74800</v>
      </c>
      <c r="G118" s="96">
        <v>114200</v>
      </c>
      <c r="H118" s="96">
        <v>82000</v>
      </c>
      <c r="I118" s="206">
        <v>87239</v>
      </c>
      <c r="J118" s="96">
        <v>68500</v>
      </c>
      <c r="K118" s="206">
        <v>67500</v>
      </c>
      <c r="L118" s="96">
        <v>67700</v>
      </c>
      <c r="M118" s="206">
        <v>75746</v>
      </c>
      <c r="N118" s="96">
        <v>69200</v>
      </c>
      <c r="O118" s="206">
        <v>70500</v>
      </c>
      <c r="P118" s="96">
        <v>19215</v>
      </c>
      <c r="Q118" s="182">
        <f t="shared" si="28"/>
        <v>848000</v>
      </c>
      <c r="R118" s="123"/>
    </row>
    <row r="119" spans="1:19" s="183" customFormat="1">
      <c r="A119" s="203"/>
      <c r="B119" s="201" t="s">
        <v>181</v>
      </c>
      <c r="C119" s="205">
        <v>85220</v>
      </c>
      <c r="D119" s="90">
        <v>91428</v>
      </c>
      <c r="E119" s="90">
        <v>4972</v>
      </c>
      <c r="F119" s="186">
        <v>7054</v>
      </c>
      <c r="G119" s="96">
        <v>11324</v>
      </c>
      <c r="H119" s="96">
        <v>8711</v>
      </c>
      <c r="I119" s="206">
        <v>8389</v>
      </c>
      <c r="J119" s="96">
        <v>7054</v>
      </c>
      <c r="K119" s="206">
        <v>7054</v>
      </c>
      <c r="L119" s="96">
        <v>7054</v>
      </c>
      <c r="M119" s="206">
        <v>7498</v>
      </c>
      <c r="N119" s="96">
        <v>7054</v>
      </c>
      <c r="O119" s="206">
        <v>7054</v>
      </c>
      <c r="P119" s="96">
        <v>8210</v>
      </c>
      <c r="Q119" s="182">
        <f t="shared" si="28"/>
        <v>91428</v>
      </c>
      <c r="R119" s="123"/>
    </row>
    <row r="120" spans="1:19" s="183" customFormat="1">
      <c r="A120" s="215"/>
      <c r="B120" s="201" t="s">
        <v>70</v>
      </c>
      <c r="C120" s="205">
        <v>85295</v>
      </c>
      <c r="D120" s="90">
        <v>30000</v>
      </c>
      <c r="E120" s="90"/>
      <c r="F120" s="186"/>
      <c r="G120" s="90"/>
      <c r="H120" s="90"/>
      <c r="I120" s="186"/>
      <c r="J120" s="90"/>
      <c r="K120" s="186"/>
      <c r="L120" s="90"/>
      <c r="M120" s="186"/>
      <c r="N120" s="90"/>
      <c r="O120" s="186"/>
      <c r="P120" s="90">
        <v>30000</v>
      </c>
      <c r="Q120" s="182">
        <f t="shared" si="28"/>
        <v>30000</v>
      </c>
      <c r="R120" s="123"/>
    </row>
    <row r="121" spans="1:19">
      <c r="A121" s="164">
        <v>853</v>
      </c>
      <c r="B121" s="161" t="s">
        <v>131</v>
      </c>
      <c r="C121" s="167"/>
      <c r="D121" s="78">
        <f>SUM(D122:D125)</f>
        <v>2200999</v>
      </c>
      <c r="E121" s="78">
        <f t="shared" ref="E121:P121" si="38">SUM(E122:E125)</f>
        <v>139319</v>
      </c>
      <c r="F121" s="78">
        <f t="shared" si="38"/>
        <v>256799</v>
      </c>
      <c r="G121" s="78">
        <f t="shared" si="38"/>
        <v>242200</v>
      </c>
      <c r="H121" s="78">
        <f t="shared" si="38"/>
        <v>192599</v>
      </c>
      <c r="I121" s="78">
        <f t="shared" si="38"/>
        <v>199263</v>
      </c>
      <c r="J121" s="78">
        <f t="shared" si="38"/>
        <v>154463</v>
      </c>
      <c r="K121" s="78">
        <f t="shared" si="38"/>
        <v>165765</v>
      </c>
      <c r="L121" s="78">
        <f t="shared" si="38"/>
        <v>154493</v>
      </c>
      <c r="M121" s="78">
        <f t="shared" si="38"/>
        <v>169498</v>
      </c>
      <c r="N121" s="78">
        <f t="shared" si="38"/>
        <v>158608</v>
      </c>
      <c r="O121" s="78">
        <f t="shared" si="38"/>
        <v>157753</v>
      </c>
      <c r="P121" s="78">
        <f t="shared" si="38"/>
        <v>210239</v>
      </c>
      <c r="Q121" s="123">
        <f t="shared" si="28"/>
        <v>2200999</v>
      </c>
      <c r="R121" s="123"/>
    </row>
    <row r="122" spans="1:19" s="183" customFormat="1">
      <c r="A122" s="200"/>
      <c r="B122" s="201" t="s">
        <v>182</v>
      </c>
      <c r="C122" s="205">
        <v>85311</v>
      </c>
      <c r="D122" s="194">
        <v>44433</v>
      </c>
      <c r="E122" s="194">
        <v>16900</v>
      </c>
      <c r="F122" s="202"/>
      <c r="G122" s="194"/>
      <c r="H122" s="194">
        <v>12666</v>
      </c>
      <c r="I122" s="202"/>
      <c r="J122" s="194"/>
      <c r="K122" s="202">
        <v>10967</v>
      </c>
      <c r="L122" s="194"/>
      <c r="M122" s="202"/>
      <c r="N122" s="194">
        <v>3900</v>
      </c>
      <c r="O122" s="202"/>
      <c r="P122" s="194"/>
      <c r="Q122" s="182">
        <f t="shared" si="28"/>
        <v>44433</v>
      </c>
      <c r="R122" s="123"/>
    </row>
    <row r="123" spans="1:19" s="185" customFormat="1">
      <c r="A123" s="200"/>
      <c r="B123" s="201" t="s">
        <v>183</v>
      </c>
      <c r="C123" s="205">
        <v>85321</v>
      </c>
      <c r="D123" s="90">
        <v>167475</v>
      </c>
      <c r="E123" s="90">
        <v>16104</v>
      </c>
      <c r="F123" s="186">
        <v>21749</v>
      </c>
      <c r="G123" s="90">
        <v>14160</v>
      </c>
      <c r="H123" s="90">
        <v>13903</v>
      </c>
      <c r="I123" s="186">
        <v>13863</v>
      </c>
      <c r="J123" s="90">
        <v>13163</v>
      </c>
      <c r="K123" s="186">
        <v>10898</v>
      </c>
      <c r="L123" s="90">
        <v>10643</v>
      </c>
      <c r="M123" s="186">
        <v>11198</v>
      </c>
      <c r="N123" s="90">
        <v>11558</v>
      </c>
      <c r="O123" s="186">
        <v>13853</v>
      </c>
      <c r="P123" s="90">
        <v>16383</v>
      </c>
      <c r="Q123" s="184">
        <f t="shared" si="28"/>
        <v>167475</v>
      </c>
      <c r="R123" s="123"/>
    </row>
    <row r="124" spans="1:19" s="183" customFormat="1">
      <c r="A124" s="215"/>
      <c r="B124" s="201" t="s">
        <v>179</v>
      </c>
      <c r="C124" s="205">
        <v>85333</v>
      </c>
      <c r="D124" s="90">
        <v>1973120</v>
      </c>
      <c r="E124" s="90">
        <v>100315</v>
      </c>
      <c r="F124" s="186">
        <v>234550</v>
      </c>
      <c r="G124" s="90">
        <v>227540</v>
      </c>
      <c r="H124" s="90">
        <v>165530</v>
      </c>
      <c r="I124" s="186">
        <v>184900</v>
      </c>
      <c r="J124" s="90">
        <v>140800</v>
      </c>
      <c r="K124" s="186">
        <v>143400</v>
      </c>
      <c r="L124" s="90">
        <v>143350</v>
      </c>
      <c r="M124" s="186">
        <v>157800</v>
      </c>
      <c r="N124" s="90">
        <v>142650</v>
      </c>
      <c r="O124" s="186">
        <v>143400</v>
      </c>
      <c r="P124" s="90">
        <v>188885</v>
      </c>
      <c r="Q124" s="182">
        <f t="shared" si="28"/>
        <v>1973120</v>
      </c>
      <c r="R124" s="123"/>
    </row>
    <row r="125" spans="1:19" s="185" customFormat="1">
      <c r="A125" s="203"/>
      <c r="B125" s="201" t="s">
        <v>70</v>
      </c>
      <c r="C125" s="205">
        <v>85395</v>
      </c>
      <c r="D125" s="90">
        <v>15971</v>
      </c>
      <c r="E125" s="90">
        <v>6000</v>
      </c>
      <c r="F125" s="186">
        <v>500</v>
      </c>
      <c r="G125" s="90">
        <v>500</v>
      </c>
      <c r="H125" s="90">
        <v>500</v>
      </c>
      <c r="I125" s="186">
        <v>500</v>
      </c>
      <c r="J125" s="90">
        <v>500</v>
      </c>
      <c r="K125" s="186">
        <v>500</v>
      </c>
      <c r="L125" s="90">
        <v>500</v>
      </c>
      <c r="M125" s="186">
        <v>500</v>
      </c>
      <c r="N125" s="90">
        <v>500</v>
      </c>
      <c r="O125" s="186">
        <v>500</v>
      </c>
      <c r="P125" s="90">
        <v>4971</v>
      </c>
      <c r="Q125" s="184">
        <f t="shared" si="28"/>
        <v>15971</v>
      </c>
      <c r="R125" s="123"/>
    </row>
    <row r="126" spans="1:19">
      <c r="A126" s="164">
        <v>854</v>
      </c>
      <c r="B126" s="161" t="s">
        <v>136</v>
      </c>
      <c r="C126" s="167"/>
      <c r="D126" s="78">
        <f>SUM(D127+D128+D131+D132+D135+D138+D139)</f>
        <v>4462858</v>
      </c>
      <c r="E126" s="78">
        <f t="shared" ref="E126:P126" si="39">SUM(E127+E128+E131+E132+E135+E138+E139)</f>
        <v>316285</v>
      </c>
      <c r="F126" s="79">
        <f t="shared" si="39"/>
        <v>367635</v>
      </c>
      <c r="G126" s="78">
        <f t="shared" si="39"/>
        <v>550021</v>
      </c>
      <c r="H126" s="78">
        <f t="shared" si="39"/>
        <v>462677</v>
      </c>
      <c r="I126" s="79">
        <f t="shared" si="39"/>
        <v>371513</v>
      </c>
      <c r="J126" s="78">
        <f t="shared" si="39"/>
        <v>351075</v>
      </c>
      <c r="K126" s="79">
        <f t="shared" si="39"/>
        <v>339212</v>
      </c>
      <c r="L126" s="78">
        <f t="shared" si="39"/>
        <v>349951</v>
      </c>
      <c r="M126" s="79">
        <f t="shared" si="39"/>
        <v>393721</v>
      </c>
      <c r="N126" s="78">
        <f t="shared" si="39"/>
        <v>332119</v>
      </c>
      <c r="O126" s="79">
        <f t="shared" si="39"/>
        <v>213631</v>
      </c>
      <c r="P126" s="78">
        <f t="shared" si="39"/>
        <v>469018</v>
      </c>
      <c r="Q126" s="123">
        <f t="shared" si="28"/>
        <v>4516858</v>
      </c>
      <c r="R126" s="123"/>
      <c r="S126" s="183"/>
    </row>
    <row r="127" spans="1:19" s="183" customFormat="1">
      <c r="A127" s="203"/>
      <c r="B127" s="201" t="s">
        <v>184</v>
      </c>
      <c r="C127" s="205">
        <v>85404</v>
      </c>
      <c r="D127" s="81">
        <v>99149</v>
      </c>
      <c r="E127" s="81">
        <v>5000</v>
      </c>
      <c r="F127" s="212">
        <v>8400</v>
      </c>
      <c r="G127" s="81">
        <v>8400</v>
      </c>
      <c r="H127" s="81">
        <v>8300</v>
      </c>
      <c r="I127" s="212">
        <v>8500</v>
      </c>
      <c r="J127" s="81">
        <v>8300</v>
      </c>
      <c r="K127" s="212">
        <v>8500</v>
      </c>
      <c r="L127" s="81">
        <v>8300</v>
      </c>
      <c r="M127" s="212">
        <v>8400</v>
      </c>
      <c r="N127" s="81">
        <v>8300</v>
      </c>
      <c r="O127" s="212">
        <v>8400</v>
      </c>
      <c r="P127" s="81">
        <v>10349</v>
      </c>
      <c r="Q127" s="182">
        <f t="shared" si="28"/>
        <v>99149</v>
      </c>
      <c r="R127" s="123"/>
    </row>
    <row r="128" spans="1:19" s="183" customFormat="1">
      <c r="A128" s="203"/>
      <c r="B128" s="201" t="s">
        <v>137</v>
      </c>
      <c r="C128" s="205">
        <v>85406</v>
      </c>
      <c r="D128" s="90">
        <f>SUM(D129:D130)</f>
        <v>1346220</v>
      </c>
      <c r="E128" s="90">
        <f t="shared" ref="E128:P128" si="40">SUM(E129:E130)</f>
        <v>108826</v>
      </c>
      <c r="F128" s="186">
        <f t="shared" si="40"/>
        <v>113370</v>
      </c>
      <c r="G128" s="90">
        <f t="shared" si="40"/>
        <v>175956</v>
      </c>
      <c r="H128" s="90">
        <f t="shared" si="40"/>
        <v>129118</v>
      </c>
      <c r="I128" s="186">
        <f t="shared" si="40"/>
        <v>107640</v>
      </c>
      <c r="J128" s="90">
        <f t="shared" si="40"/>
        <v>108101</v>
      </c>
      <c r="K128" s="186">
        <f t="shared" si="40"/>
        <v>107838</v>
      </c>
      <c r="L128" s="90">
        <f t="shared" si="40"/>
        <v>118067</v>
      </c>
      <c r="M128" s="186">
        <f t="shared" si="40"/>
        <v>128105</v>
      </c>
      <c r="N128" s="90">
        <f t="shared" si="40"/>
        <v>88549</v>
      </c>
      <c r="O128" s="186">
        <f t="shared" si="40"/>
        <v>88955</v>
      </c>
      <c r="P128" s="90">
        <f t="shared" si="40"/>
        <v>71695</v>
      </c>
      <c r="Q128" s="182">
        <f t="shared" si="28"/>
        <v>1346220</v>
      </c>
      <c r="R128" s="123"/>
    </row>
    <row r="129" spans="1:19" s="183" customFormat="1">
      <c r="A129" s="203"/>
      <c r="B129" s="204" t="s">
        <v>209</v>
      </c>
      <c r="C129" s="205"/>
      <c r="D129" s="90">
        <v>662278</v>
      </c>
      <c r="E129" s="90">
        <v>55100</v>
      </c>
      <c r="F129" s="186">
        <v>55100</v>
      </c>
      <c r="G129" s="90">
        <v>60000</v>
      </c>
      <c r="H129" s="90">
        <v>56000</v>
      </c>
      <c r="I129" s="186">
        <v>56000</v>
      </c>
      <c r="J129" s="90">
        <v>56000</v>
      </c>
      <c r="K129" s="186">
        <v>56000</v>
      </c>
      <c r="L129" s="90">
        <v>56000</v>
      </c>
      <c r="M129" s="186">
        <v>56700</v>
      </c>
      <c r="N129" s="90">
        <v>57200</v>
      </c>
      <c r="O129" s="186">
        <v>58000</v>
      </c>
      <c r="P129" s="90">
        <v>40178</v>
      </c>
      <c r="Q129" s="182">
        <f t="shared" si="28"/>
        <v>662278</v>
      </c>
      <c r="R129" s="123"/>
    </row>
    <row r="130" spans="1:19" s="183" customFormat="1">
      <c r="A130" s="203"/>
      <c r="B130" s="204" t="s">
        <v>217</v>
      </c>
      <c r="C130" s="205"/>
      <c r="D130" s="90">
        <v>683942</v>
      </c>
      <c r="E130" s="90">
        <v>53726</v>
      </c>
      <c r="F130" s="186">
        <v>58270</v>
      </c>
      <c r="G130" s="90">
        <v>115956</v>
      </c>
      <c r="H130" s="90">
        <v>73118</v>
      </c>
      <c r="I130" s="186">
        <v>51640</v>
      </c>
      <c r="J130" s="90">
        <v>52101</v>
      </c>
      <c r="K130" s="186">
        <v>51838</v>
      </c>
      <c r="L130" s="90">
        <v>62067</v>
      </c>
      <c r="M130" s="186">
        <v>71405</v>
      </c>
      <c r="N130" s="90">
        <v>31349</v>
      </c>
      <c r="O130" s="186">
        <v>30955</v>
      </c>
      <c r="P130" s="90">
        <v>31517</v>
      </c>
      <c r="Q130" s="182">
        <f t="shared" si="28"/>
        <v>683942</v>
      </c>
      <c r="R130" s="123"/>
    </row>
    <row r="131" spans="1:19" s="183" customFormat="1">
      <c r="A131" s="203"/>
      <c r="B131" s="201" t="s">
        <v>138</v>
      </c>
      <c r="C131" s="205">
        <v>85407</v>
      </c>
      <c r="D131" s="194">
        <v>1258324</v>
      </c>
      <c r="E131" s="194">
        <v>100550</v>
      </c>
      <c r="F131" s="202">
        <v>116300</v>
      </c>
      <c r="G131" s="194">
        <v>178900</v>
      </c>
      <c r="H131" s="194">
        <v>157000</v>
      </c>
      <c r="I131" s="202">
        <v>114200</v>
      </c>
      <c r="J131" s="194">
        <v>110300</v>
      </c>
      <c r="K131" s="202">
        <v>106300</v>
      </c>
      <c r="L131" s="194">
        <v>108810</v>
      </c>
      <c r="M131" s="202">
        <v>115300</v>
      </c>
      <c r="N131" s="194">
        <v>116158</v>
      </c>
      <c r="O131" s="202">
        <v>25565</v>
      </c>
      <c r="P131" s="194">
        <v>8941</v>
      </c>
      <c r="Q131" s="182">
        <f t="shared" si="28"/>
        <v>1258324</v>
      </c>
      <c r="R131" s="123"/>
    </row>
    <row r="132" spans="1:19" s="183" customFormat="1">
      <c r="A132" s="215"/>
      <c r="B132" s="201" t="s">
        <v>139</v>
      </c>
      <c r="C132" s="205">
        <v>85410</v>
      </c>
      <c r="D132" s="90">
        <f>SUM(D133:D134)</f>
        <v>1346722</v>
      </c>
      <c r="E132" s="90">
        <f t="shared" ref="E132:P132" si="41">SUM(E133:E134)</f>
        <v>91898</v>
      </c>
      <c r="F132" s="186">
        <f t="shared" si="41"/>
        <v>115271</v>
      </c>
      <c r="G132" s="90">
        <f t="shared" si="41"/>
        <v>165840</v>
      </c>
      <c r="H132" s="90">
        <f t="shared" si="41"/>
        <v>149063</v>
      </c>
      <c r="I132" s="186">
        <f t="shared" si="41"/>
        <v>127865</v>
      </c>
      <c r="J132" s="90">
        <f t="shared" si="41"/>
        <v>112680</v>
      </c>
      <c r="K132" s="186">
        <f t="shared" si="41"/>
        <v>104580</v>
      </c>
      <c r="L132" s="90">
        <f t="shared" si="41"/>
        <v>103280</v>
      </c>
      <c r="M132" s="186">
        <f t="shared" si="41"/>
        <v>114557</v>
      </c>
      <c r="N132" s="90">
        <f t="shared" si="41"/>
        <v>112583</v>
      </c>
      <c r="O132" s="186">
        <f t="shared" si="41"/>
        <v>83549</v>
      </c>
      <c r="P132" s="90">
        <f t="shared" si="41"/>
        <v>65556</v>
      </c>
      <c r="Q132" s="182">
        <f t="shared" si="28"/>
        <v>1346722</v>
      </c>
      <c r="R132" s="123"/>
    </row>
    <row r="133" spans="1:19" s="183" customFormat="1">
      <c r="A133" s="203"/>
      <c r="B133" s="204" t="s">
        <v>218</v>
      </c>
      <c r="C133" s="205"/>
      <c r="D133" s="81">
        <v>579706</v>
      </c>
      <c r="E133" s="90">
        <f>10628+31098</f>
        <v>41726</v>
      </c>
      <c r="F133" s="186">
        <v>43620</v>
      </c>
      <c r="G133" s="90">
        <v>71620</v>
      </c>
      <c r="H133" s="90">
        <v>54620</v>
      </c>
      <c r="I133" s="186">
        <v>52620</v>
      </c>
      <c r="J133" s="90">
        <v>47320</v>
      </c>
      <c r="K133" s="186">
        <v>42320</v>
      </c>
      <c r="L133" s="90">
        <v>42320</v>
      </c>
      <c r="M133" s="186">
        <v>42320</v>
      </c>
      <c r="N133" s="90">
        <v>43848</v>
      </c>
      <c r="O133" s="186">
        <v>47320</v>
      </c>
      <c r="P133" s="90">
        <v>50052</v>
      </c>
      <c r="Q133" s="182">
        <f t="shared" si="28"/>
        <v>579706</v>
      </c>
      <c r="R133" s="123"/>
    </row>
    <row r="134" spans="1:19" s="183" customFormat="1">
      <c r="A134" s="203"/>
      <c r="B134" s="225" t="s">
        <v>204</v>
      </c>
      <c r="C134" s="205"/>
      <c r="D134" s="194">
        <v>767016</v>
      </c>
      <c r="E134" s="194">
        <v>50172</v>
      </c>
      <c r="F134" s="202">
        <v>71651</v>
      </c>
      <c r="G134" s="194">
        <v>94220</v>
      </c>
      <c r="H134" s="194">
        <v>94443</v>
      </c>
      <c r="I134" s="202">
        <v>75245</v>
      </c>
      <c r="J134" s="194">
        <v>65360</v>
      </c>
      <c r="K134" s="202">
        <v>62260</v>
      </c>
      <c r="L134" s="194">
        <v>60960</v>
      </c>
      <c r="M134" s="202">
        <v>72237</v>
      </c>
      <c r="N134" s="194">
        <v>68735</v>
      </c>
      <c r="O134" s="202">
        <v>36229</v>
      </c>
      <c r="P134" s="194">
        <v>15504</v>
      </c>
      <c r="Q134" s="182">
        <f t="shared" si="28"/>
        <v>767016</v>
      </c>
      <c r="R134" s="123"/>
    </row>
    <row r="135" spans="1:19" s="183" customFormat="1">
      <c r="A135" s="215"/>
      <c r="B135" s="201" t="s">
        <v>140</v>
      </c>
      <c r="C135" s="205">
        <v>85417</v>
      </c>
      <c r="D135" s="90">
        <f>SUM(D136:D137)</f>
        <v>160396</v>
      </c>
      <c r="E135" s="90">
        <f t="shared" ref="E135" si="42">SUM(E136:E137)</f>
        <v>10011</v>
      </c>
      <c r="F135" s="186">
        <f t="shared" ref="F135:P135" si="43">SUM(F136:F137)</f>
        <v>14294</v>
      </c>
      <c r="G135" s="90">
        <f t="shared" si="43"/>
        <v>20925</v>
      </c>
      <c r="H135" s="90">
        <f t="shared" si="43"/>
        <v>19196</v>
      </c>
      <c r="I135" s="186">
        <f t="shared" si="43"/>
        <v>13308</v>
      </c>
      <c r="J135" s="90">
        <f t="shared" si="43"/>
        <v>11694</v>
      </c>
      <c r="K135" s="186">
        <f t="shared" si="43"/>
        <v>11994</v>
      </c>
      <c r="L135" s="90">
        <f t="shared" si="43"/>
        <v>11494</v>
      </c>
      <c r="M135" s="186">
        <f t="shared" si="43"/>
        <v>27359</v>
      </c>
      <c r="N135" s="90">
        <f t="shared" si="43"/>
        <v>6529</v>
      </c>
      <c r="O135" s="186">
        <f t="shared" si="43"/>
        <v>7162</v>
      </c>
      <c r="P135" s="90">
        <f t="shared" si="43"/>
        <v>6430</v>
      </c>
      <c r="Q135" s="182">
        <f t="shared" si="28"/>
        <v>160396</v>
      </c>
      <c r="R135" s="123"/>
    </row>
    <row r="136" spans="1:19" s="183" customFormat="1">
      <c r="A136" s="203"/>
      <c r="B136" s="204" t="s">
        <v>219</v>
      </c>
      <c r="C136" s="205"/>
      <c r="D136" s="90">
        <v>147439</v>
      </c>
      <c r="E136" s="90">
        <v>9450</v>
      </c>
      <c r="F136" s="186">
        <v>13550</v>
      </c>
      <c r="G136" s="90">
        <v>18950</v>
      </c>
      <c r="H136" s="90">
        <v>17930</v>
      </c>
      <c r="I136" s="186">
        <v>11950</v>
      </c>
      <c r="J136" s="90">
        <v>10950</v>
      </c>
      <c r="K136" s="186">
        <v>10750</v>
      </c>
      <c r="L136" s="90">
        <v>10750</v>
      </c>
      <c r="M136" s="186">
        <v>26079</v>
      </c>
      <c r="N136" s="90">
        <v>5700</v>
      </c>
      <c r="O136" s="186">
        <v>5700</v>
      </c>
      <c r="P136" s="90">
        <v>5680</v>
      </c>
      <c r="Q136" s="182">
        <f t="shared" si="28"/>
        <v>147439</v>
      </c>
      <c r="R136" s="123"/>
    </row>
    <row r="137" spans="1:19" s="183" customFormat="1">
      <c r="A137" s="215"/>
      <c r="B137" s="204" t="s">
        <v>204</v>
      </c>
      <c r="C137" s="205"/>
      <c r="D137" s="90">
        <v>12957</v>
      </c>
      <c r="E137" s="90">
        <v>561</v>
      </c>
      <c r="F137" s="186">
        <v>744</v>
      </c>
      <c r="G137" s="90">
        <v>1975</v>
      </c>
      <c r="H137" s="90">
        <v>1266</v>
      </c>
      <c r="I137" s="186">
        <v>1358</v>
      </c>
      <c r="J137" s="90">
        <v>744</v>
      </c>
      <c r="K137" s="186">
        <v>1244</v>
      </c>
      <c r="L137" s="90">
        <v>744</v>
      </c>
      <c r="M137" s="186">
        <v>1280</v>
      </c>
      <c r="N137" s="90">
        <v>829</v>
      </c>
      <c r="O137" s="186">
        <v>1462</v>
      </c>
      <c r="P137" s="90">
        <v>750</v>
      </c>
      <c r="Q137" s="182">
        <f t="shared" si="28"/>
        <v>12957</v>
      </c>
      <c r="R137" s="123"/>
    </row>
    <row r="138" spans="1:19" s="183" customFormat="1">
      <c r="A138" s="203"/>
      <c r="B138" s="201" t="s">
        <v>173</v>
      </c>
      <c r="C138" s="205">
        <v>85446</v>
      </c>
      <c r="D138" s="90">
        <v>12734</v>
      </c>
      <c r="E138" s="90"/>
      <c r="F138" s="186"/>
      <c r="G138" s="90"/>
      <c r="H138" s="90"/>
      <c r="I138" s="186"/>
      <c r="J138" s="90"/>
      <c r="K138" s="186"/>
      <c r="L138" s="90"/>
      <c r="M138" s="186"/>
      <c r="N138" s="90"/>
      <c r="O138" s="186"/>
      <c r="P138" s="90">
        <v>12734</v>
      </c>
      <c r="Q138" s="182">
        <f t="shared" si="28"/>
        <v>12734</v>
      </c>
      <c r="R138" s="123"/>
    </row>
    <row r="139" spans="1:19" s="183" customFormat="1">
      <c r="A139" s="203"/>
      <c r="B139" s="201" t="s">
        <v>70</v>
      </c>
      <c r="C139" s="205">
        <v>85495</v>
      </c>
      <c r="D139" s="90">
        <v>239313</v>
      </c>
      <c r="E139" s="90"/>
      <c r="F139" s="186"/>
      <c r="G139" s="90"/>
      <c r="H139" s="90"/>
      <c r="I139" s="186"/>
      <c r="J139" s="90"/>
      <c r="K139" s="186"/>
      <c r="L139" s="90"/>
      <c r="M139" s="186"/>
      <c r="N139" s="90"/>
      <c r="O139" s="186"/>
      <c r="P139" s="90">
        <v>293313</v>
      </c>
      <c r="Q139" s="182">
        <f t="shared" si="28"/>
        <v>293313</v>
      </c>
      <c r="R139" s="123"/>
    </row>
    <row r="140" spans="1:19" s="4" customFormat="1">
      <c r="A140" s="164">
        <v>855</v>
      </c>
      <c r="B140" s="161" t="s">
        <v>152</v>
      </c>
      <c r="C140" s="167"/>
      <c r="D140" s="99">
        <f>SUM(D141+D144+D147)</f>
        <v>3128203</v>
      </c>
      <c r="E140" s="99">
        <f t="shared" ref="E140" si="44">SUM(E141+E144+E147)</f>
        <v>251631</v>
      </c>
      <c r="F140" s="99">
        <f t="shared" ref="F140:P140" si="45">SUM(F141+F144+F147)</f>
        <v>261837</v>
      </c>
      <c r="G140" s="99">
        <f t="shared" si="45"/>
        <v>313260</v>
      </c>
      <c r="H140" s="99">
        <f t="shared" si="45"/>
        <v>274650</v>
      </c>
      <c r="I140" s="134">
        <f t="shared" si="45"/>
        <v>261068</v>
      </c>
      <c r="J140" s="99">
        <f t="shared" si="45"/>
        <v>302096</v>
      </c>
      <c r="K140" s="134">
        <f t="shared" si="45"/>
        <v>264196</v>
      </c>
      <c r="L140" s="99">
        <f t="shared" si="45"/>
        <v>257130</v>
      </c>
      <c r="M140" s="134">
        <f t="shared" si="45"/>
        <v>254531</v>
      </c>
      <c r="N140" s="99">
        <f t="shared" si="45"/>
        <v>263371</v>
      </c>
      <c r="O140" s="134">
        <f t="shared" si="45"/>
        <v>213923</v>
      </c>
      <c r="P140" s="99">
        <f t="shared" si="45"/>
        <v>210510</v>
      </c>
      <c r="Q140" s="123">
        <f t="shared" si="28"/>
        <v>3128203</v>
      </c>
      <c r="R140" s="123"/>
      <c r="S140" s="183"/>
    </row>
    <row r="141" spans="1:19" s="183" customFormat="1">
      <c r="A141" s="203"/>
      <c r="B141" s="201" t="s">
        <v>129</v>
      </c>
      <c r="C141" s="205">
        <v>85508</v>
      </c>
      <c r="D141" s="194">
        <f>SUM(D142:D143)</f>
        <v>1807070</v>
      </c>
      <c r="E141" s="194">
        <f t="shared" ref="E141:P141" si="46">SUM(E142:E143)</f>
        <v>156081</v>
      </c>
      <c r="F141" s="194">
        <f t="shared" si="46"/>
        <v>159987</v>
      </c>
      <c r="G141" s="194">
        <f t="shared" si="46"/>
        <v>161944</v>
      </c>
      <c r="H141" s="194">
        <f t="shared" si="46"/>
        <v>170734</v>
      </c>
      <c r="I141" s="194">
        <f t="shared" si="46"/>
        <v>165252</v>
      </c>
      <c r="J141" s="194">
        <f t="shared" si="46"/>
        <v>163514</v>
      </c>
      <c r="K141" s="194">
        <f t="shared" si="46"/>
        <v>168380</v>
      </c>
      <c r="L141" s="194">
        <f t="shared" si="46"/>
        <v>161214</v>
      </c>
      <c r="M141" s="194">
        <f t="shared" si="46"/>
        <v>155614</v>
      </c>
      <c r="N141" s="194">
        <f t="shared" si="46"/>
        <v>166450</v>
      </c>
      <c r="O141" s="194">
        <f t="shared" si="46"/>
        <v>125919</v>
      </c>
      <c r="P141" s="194">
        <f t="shared" si="46"/>
        <v>51981</v>
      </c>
      <c r="Q141" s="182">
        <f t="shared" si="28"/>
        <v>1807070</v>
      </c>
      <c r="R141" s="123"/>
    </row>
    <row r="142" spans="1:19" s="183" customFormat="1">
      <c r="A142" s="203"/>
      <c r="B142" s="204" t="s">
        <v>155</v>
      </c>
      <c r="C142" s="205"/>
      <c r="D142" s="90">
        <v>1368718</v>
      </c>
      <c r="E142" s="90">
        <v>117812</v>
      </c>
      <c r="F142" s="186">
        <v>122372</v>
      </c>
      <c r="G142" s="90">
        <v>124272</v>
      </c>
      <c r="H142" s="90">
        <v>134319</v>
      </c>
      <c r="I142" s="186">
        <v>128855</v>
      </c>
      <c r="J142" s="90">
        <v>127149</v>
      </c>
      <c r="K142" s="186">
        <v>133015</v>
      </c>
      <c r="L142" s="90">
        <v>125849</v>
      </c>
      <c r="M142" s="186">
        <v>119249</v>
      </c>
      <c r="N142" s="90">
        <v>130149</v>
      </c>
      <c r="O142" s="186">
        <v>90121</v>
      </c>
      <c r="P142" s="90">
        <v>15556</v>
      </c>
      <c r="Q142" s="182">
        <f t="shared" si="28"/>
        <v>1368718</v>
      </c>
      <c r="R142" s="123"/>
    </row>
    <row r="143" spans="1:19" s="183" customFormat="1">
      <c r="A143" s="203"/>
      <c r="B143" s="204" t="s">
        <v>156</v>
      </c>
      <c r="C143" s="205"/>
      <c r="D143" s="90">
        <v>438352</v>
      </c>
      <c r="E143" s="90">
        <v>38269</v>
      </c>
      <c r="F143" s="186">
        <v>37615</v>
      </c>
      <c r="G143" s="90">
        <v>37672</v>
      </c>
      <c r="H143" s="90">
        <v>36415</v>
      </c>
      <c r="I143" s="186">
        <v>36397</v>
      </c>
      <c r="J143" s="90">
        <v>36365</v>
      </c>
      <c r="K143" s="186">
        <v>35365</v>
      </c>
      <c r="L143" s="90">
        <v>35365</v>
      </c>
      <c r="M143" s="186">
        <v>36365</v>
      </c>
      <c r="N143" s="90">
        <v>36301</v>
      </c>
      <c r="O143" s="186">
        <v>35798</v>
      </c>
      <c r="P143" s="90">
        <v>36425</v>
      </c>
      <c r="Q143" s="182">
        <f t="shared" si="28"/>
        <v>438352</v>
      </c>
      <c r="R143" s="123"/>
    </row>
    <row r="144" spans="1:19" s="183" customFormat="1">
      <c r="A144" s="203"/>
      <c r="B144" s="201" t="s">
        <v>220</v>
      </c>
      <c r="C144" s="205">
        <v>85510</v>
      </c>
      <c r="D144" s="90">
        <f>SUM(D145:D146)</f>
        <v>1271133</v>
      </c>
      <c r="E144" s="90">
        <f t="shared" ref="E144:Q144" si="47">SUM(E145:E146)</f>
        <v>95550</v>
      </c>
      <c r="F144" s="90">
        <f t="shared" si="47"/>
        <v>101850</v>
      </c>
      <c r="G144" s="90">
        <f t="shared" si="47"/>
        <v>151316</v>
      </c>
      <c r="H144" s="90">
        <f t="shared" si="47"/>
        <v>103916</v>
      </c>
      <c r="I144" s="90">
        <f t="shared" si="47"/>
        <v>95816</v>
      </c>
      <c r="J144" s="90">
        <f t="shared" si="47"/>
        <v>138582</v>
      </c>
      <c r="K144" s="90">
        <f t="shared" si="47"/>
        <v>95816</v>
      </c>
      <c r="L144" s="90">
        <f t="shared" si="47"/>
        <v>95916</v>
      </c>
      <c r="M144" s="90">
        <f t="shared" si="47"/>
        <v>98917</v>
      </c>
      <c r="N144" s="90">
        <f t="shared" si="47"/>
        <v>96921</v>
      </c>
      <c r="O144" s="90">
        <f t="shared" si="47"/>
        <v>88004</v>
      </c>
      <c r="P144" s="90">
        <f t="shared" si="47"/>
        <v>108529</v>
      </c>
      <c r="Q144" s="90">
        <f t="shared" si="47"/>
        <v>1271133</v>
      </c>
      <c r="R144" s="123"/>
    </row>
    <row r="145" spans="1:18" s="183" customFormat="1">
      <c r="A145" s="203"/>
      <c r="B145" s="204" t="s">
        <v>154</v>
      </c>
      <c r="C145" s="205"/>
      <c r="D145" s="90">
        <v>105000</v>
      </c>
      <c r="E145" s="90">
        <v>5550</v>
      </c>
      <c r="F145" s="186">
        <v>13650</v>
      </c>
      <c r="G145" s="90">
        <v>10616</v>
      </c>
      <c r="H145" s="90">
        <v>15716</v>
      </c>
      <c r="I145" s="186">
        <v>7616</v>
      </c>
      <c r="J145" s="90">
        <v>17282</v>
      </c>
      <c r="K145" s="186">
        <v>7616</v>
      </c>
      <c r="L145" s="90">
        <v>7616</v>
      </c>
      <c r="M145" s="186">
        <v>10617</v>
      </c>
      <c r="N145" s="90">
        <v>8721</v>
      </c>
      <c r="O145" s="186"/>
      <c r="P145" s="90"/>
      <c r="Q145" s="182">
        <f t="shared" si="28"/>
        <v>105000</v>
      </c>
      <c r="R145" s="123"/>
    </row>
    <row r="146" spans="1:18" s="185" customFormat="1">
      <c r="A146" s="203"/>
      <c r="B146" s="204" t="s">
        <v>210</v>
      </c>
      <c r="C146" s="205"/>
      <c r="D146" s="90">
        <f>1133033+33100</f>
        <v>1166133</v>
      </c>
      <c r="E146" s="90">
        <v>90000</v>
      </c>
      <c r="F146" s="186">
        <v>88200</v>
      </c>
      <c r="G146" s="90">
        <v>140700</v>
      </c>
      <c r="H146" s="90">
        <v>88200</v>
      </c>
      <c r="I146" s="186">
        <v>88200</v>
      </c>
      <c r="J146" s="90">
        <f>88200+33100</f>
        <v>121300</v>
      </c>
      <c r="K146" s="186">
        <v>88200</v>
      </c>
      <c r="L146" s="90">
        <v>88300</v>
      </c>
      <c r="M146" s="186">
        <v>88300</v>
      </c>
      <c r="N146" s="90">
        <v>88200</v>
      </c>
      <c r="O146" s="186">
        <v>88004</v>
      </c>
      <c r="P146" s="90">
        <v>108529</v>
      </c>
      <c r="Q146" s="184">
        <f t="shared" si="28"/>
        <v>1166133</v>
      </c>
      <c r="R146" s="123"/>
    </row>
    <row r="147" spans="1:18" s="183" customFormat="1">
      <c r="A147" s="203"/>
      <c r="B147" s="201" t="s">
        <v>70</v>
      </c>
      <c r="C147" s="205">
        <v>85595</v>
      </c>
      <c r="D147" s="90">
        <v>50000</v>
      </c>
      <c r="E147" s="90"/>
      <c r="F147" s="186"/>
      <c r="G147" s="90"/>
      <c r="H147" s="90"/>
      <c r="I147" s="186"/>
      <c r="J147" s="90"/>
      <c r="K147" s="186"/>
      <c r="L147" s="90"/>
      <c r="M147" s="186"/>
      <c r="N147" s="90"/>
      <c r="O147" s="186"/>
      <c r="P147" s="90">
        <v>50000</v>
      </c>
      <c r="Q147" s="182">
        <f t="shared" si="28"/>
        <v>50000</v>
      </c>
      <c r="R147" s="123"/>
    </row>
    <row r="148" spans="1:18">
      <c r="A148" s="164">
        <v>900</v>
      </c>
      <c r="B148" s="161" t="s">
        <v>142</v>
      </c>
      <c r="C148" s="167"/>
      <c r="D148" s="78">
        <f>SUM(D149)</f>
        <v>10000</v>
      </c>
      <c r="E148" s="78">
        <f t="shared" ref="E148" si="48">SUM(E149)</f>
        <v>0</v>
      </c>
      <c r="F148" s="79">
        <f t="shared" ref="F148:P148" si="49">SUM(F149)</f>
        <v>0</v>
      </c>
      <c r="G148" s="78">
        <f t="shared" si="49"/>
        <v>0</v>
      </c>
      <c r="H148" s="78">
        <f t="shared" si="49"/>
        <v>0</v>
      </c>
      <c r="I148" s="79">
        <f t="shared" si="49"/>
        <v>0</v>
      </c>
      <c r="J148" s="78">
        <f t="shared" si="49"/>
        <v>0</v>
      </c>
      <c r="K148" s="79">
        <f t="shared" si="49"/>
        <v>0</v>
      </c>
      <c r="L148" s="78">
        <f t="shared" si="49"/>
        <v>0</v>
      </c>
      <c r="M148" s="79">
        <f t="shared" si="49"/>
        <v>0</v>
      </c>
      <c r="N148" s="78">
        <f t="shared" si="49"/>
        <v>10000</v>
      </c>
      <c r="O148" s="79">
        <f t="shared" si="49"/>
        <v>0</v>
      </c>
      <c r="P148" s="78">
        <f t="shared" si="49"/>
        <v>0</v>
      </c>
      <c r="Q148" s="123">
        <f t="shared" si="28"/>
        <v>10000</v>
      </c>
      <c r="R148" s="123"/>
    </row>
    <row r="149" spans="1:18" s="183" customFormat="1">
      <c r="A149" s="203"/>
      <c r="B149" s="201" t="s">
        <v>70</v>
      </c>
      <c r="C149" s="205">
        <v>90095</v>
      </c>
      <c r="D149" s="90">
        <v>10000</v>
      </c>
      <c r="E149" s="90"/>
      <c r="F149" s="186"/>
      <c r="G149" s="90"/>
      <c r="H149" s="90"/>
      <c r="I149" s="186"/>
      <c r="J149" s="90"/>
      <c r="K149" s="186"/>
      <c r="L149" s="90"/>
      <c r="M149" s="186"/>
      <c r="N149" s="90">
        <v>10000</v>
      </c>
      <c r="O149" s="186"/>
      <c r="P149" s="90"/>
      <c r="Q149" s="182">
        <f t="shared" si="28"/>
        <v>10000</v>
      </c>
      <c r="R149" s="123"/>
    </row>
    <row r="150" spans="1:18">
      <c r="A150" s="164">
        <v>921</v>
      </c>
      <c r="B150" s="161" t="s">
        <v>185</v>
      </c>
      <c r="C150" s="167"/>
      <c r="D150" s="78">
        <f>SUM(D151:D153)</f>
        <v>380400</v>
      </c>
      <c r="E150" s="78">
        <f t="shared" ref="E150:P150" si="50">SUM(E151:E153)</f>
        <v>29750</v>
      </c>
      <c r="F150" s="78">
        <f t="shared" si="50"/>
        <v>4000</v>
      </c>
      <c r="G150" s="78">
        <f t="shared" si="50"/>
        <v>80000</v>
      </c>
      <c r="H150" s="78">
        <f t="shared" si="50"/>
        <v>87250</v>
      </c>
      <c r="I150" s="78">
        <f t="shared" si="50"/>
        <v>87500</v>
      </c>
      <c r="J150" s="78">
        <f t="shared" si="50"/>
        <v>4500</v>
      </c>
      <c r="K150" s="78">
        <f t="shared" si="50"/>
        <v>48750</v>
      </c>
      <c r="L150" s="78">
        <f t="shared" si="50"/>
        <v>2000</v>
      </c>
      <c r="M150" s="78">
        <f t="shared" si="50"/>
        <v>3000</v>
      </c>
      <c r="N150" s="78">
        <f t="shared" si="50"/>
        <v>33250</v>
      </c>
      <c r="O150" s="78">
        <f t="shared" si="50"/>
        <v>400</v>
      </c>
      <c r="P150" s="78">
        <f t="shared" si="50"/>
        <v>0</v>
      </c>
      <c r="Q150" s="123">
        <f t="shared" si="28"/>
        <v>380400</v>
      </c>
      <c r="R150" s="123"/>
    </row>
    <row r="151" spans="1:18" s="183" customFormat="1">
      <c r="A151" s="203"/>
      <c r="B151" s="201" t="s">
        <v>186</v>
      </c>
      <c r="C151" s="205">
        <v>92116</v>
      </c>
      <c r="D151" s="96">
        <v>130400</v>
      </c>
      <c r="E151" s="96">
        <v>29750</v>
      </c>
      <c r="F151" s="206"/>
      <c r="G151" s="96">
        <v>8000</v>
      </c>
      <c r="H151" s="96">
        <v>29750</v>
      </c>
      <c r="I151" s="206"/>
      <c r="J151" s="96"/>
      <c r="K151" s="206">
        <v>29750</v>
      </c>
      <c r="L151" s="96"/>
      <c r="M151" s="206">
        <v>3000</v>
      </c>
      <c r="N151" s="96">
        <v>29750</v>
      </c>
      <c r="O151" s="206">
        <v>400</v>
      </c>
      <c r="P151" s="96"/>
      <c r="Q151" s="182">
        <f t="shared" si="28"/>
        <v>130400</v>
      </c>
      <c r="R151" s="123"/>
    </row>
    <row r="152" spans="1:18" s="183" customFormat="1">
      <c r="A152" s="203"/>
      <c r="B152" s="201" t="s">
        <v>187</v>
      </c>
      <c r="C152" s="205">
        <v>92120</v>
      </c>
      <c r="D152" s="90">
        <v>70000</v>
      </c>
      <c r="E152" s="90"/>
      <c r="F152" s="186"/>
      <c r="G152" s="90"/>
      <c r="H152" s="90"/>
      <c r="I152" s="186">
        <v>70000</v>
      </c>
      <c r="J152" s="90"/>
      <c r="K152" s="186"/>
      <c r="L152" s="90"/>
      <c r="M152" s="186"/>
      <c r="N152" s="90"/>
      <c r="O152" s="186"/>
      <c r="P152" s="90"/>
      <c r="Q152" s="182">
        <f t="shared" si="28"/>
        <v>70000</v>
      </c>
      <c r="R152" s="123"/>
    </row>
    <row r="153" spans="1:18" s="183" customFormat="1">
      <c r="A153" s="203"/>
      <c r="B153" s="201" t="s">
        <v>70</v>
      </c>
      <c r="C153" s="205">
        <v>92195</v>
      </c>
      <c r="D153" s="96">
        <v>180000</v>
      </c>
      <c r="E153" s="96"/>
      <c r="F153" s="206">
        <v>4000</v>
      </c>
      <c r="G153" s="96">
        <v>72000</v>
      </c>
      <c r="H153" s="96">
        <v>57500</v>
      </c>
      <c r="I153" s="206">
        <v>17500</v>
      </c>
      <c r="J153" s="96">
        <v>4500</v>
      </c>
      <c r="K153" s="206">
        <v>19000</v>
      </c>
      <c r="L153" s="96">
        <v>2000</v>
      </c>
      <c r="M153" s="206"/>
      <c r="N153" s="96">
        <v>3500</v>
      </c>
      <c r="O153" s="206"/>
      <c r="P153" s="96"/>
      <c r="Q153" s="182">
        <f t="shared" si="28"/>
        <v>180000</v>
      </c>
      <c r="R153" s="123"/>
    </row>
    <row r="154" spans="1:18">
      <c r="A154" s="164">
        <v>926</v>
      </c>
      <c r="B154" s="161" t="s">
        <v>188</v>
      </c>
      <c r="C154" s="167"/>
      <c r="D154" s="78">
        <f>SUM(D155:D156)</f>
        <v>164500</v>
      </c>
      <c r="E154" s="78">
        <f t="shared" ref="E154:P154" si="51">SUM(E155:E156)</f>
        <v>0</v>
      </c>
      <c r="F154" s="78">
        <f t="shared" si="51"/>
        <v>30000</v>
      </c>
      <c r="G154" s="78">
        <f t="shared" si="51"/>
        <v>50600</v>
      </c>
      <c r="H154" s="78">
        <f t="shared" si="51"/>
        <v>10000</v>
      </c>
      <c r="I154" s="78">
        <f t="shared" si="51"/>
        <v>0</v>
      </c>
      <c r="J154" s="78">
        <f t="shared" si="51"/>
        <v>20400</v>
      </c>
      <c r="K154" s="78">
        <f t="shared" si="51"/>
        <v>21500</v>
      </c>
      <c r="L154" s="78">
        <f t="shared" si="51"/>
        <v>6000</v>
      </c>
      <c r="M154" s="78">
        <f t="shared" si="51"/>
        <v>11500</v>
      </c>
      <c r="N154" s="78">
        <f t="shared" si="51"/>
        <v>10000</v>
      </c>
      <c r="O154" s="78">
        <f t="shared" si="51"/>
        <v>4500</v>
      </c>
      <c r="P154" s="78">
        <f t="shared" si="51"/>
        <v>0</v>
      </c>
      <c r="Q154" s="123">
        <f t="shared" ref="Q154:Q160" si="52">SUM(E154:P154)</f>
        <v>164500</v>
      </c>
      <c r="R154" s="123"/>
    </row>
    <row r="155" spans="1:18" s="183" customFormat="1">
      <c r="A155" s="200"/>
      <c r="B155" s="201" t="s">
        <v>189</v>
      </c>
      <c r="C155" s="205">
        <v>92605</v>
      </c>
      <c r="D155" s="96">
        <v>120000</v>
      </c>
      <c r="E155" s="96"/>
      <c r="F155" s="206"/>
      <c r="G155" s="96">
        <v>50000</v>
      </c>
      <c r="H155" s="96">
        <v>10000</v>
      </c>
      <c r="I155" s="206"/>
      <c r="J155" s="96">
        <v>20000</v>
      </c>
      <c r="K155" s="206">
        <v>20000</v>
      </c>
      <c r="L155" s="96"/>
      <c r="M155" s="206">
        <v>10000</v>
      </c>
      <c r="N155" s="96">
        <v>10000</v>
      </c>
      <c r="O155" s="206"/>
      <c r="P155" s="96"/>
      <c r="Q155" s="182">
        <f t="shared" si="52"/>
        <v>120000</v>
      </c>
      <c r="R155" s="123"/>
    </row>
    <row r="156" spans="1:18" s="183" customFormat="1" ht="15.75" thickBot="1">
      <c r="A156" s="226"/>
      <c r="B156" s="227" t="s">
        <v>70</v>
      </c>
      <c r="C156" s="228">
        <v>92695</v>
      </c>
      <c r="D156" s="229">
        <v>44500</v>
      </c>
      <c r="E156" s="229"/>
      <c r="F156" s="230">
        <v>30000</v>
      </c>
      <c r="G156" s="229">
        <v>600</v>
      </c>
      <c r="H156" s="229"/>
      <c r="I156" s="230"/>
      <c r="J156" s="229">
        <v>400</v>
      </c>
      <c r="K156" s="230">
        <v>1500</v>
      </c>
      <c r="L156" s="229">
        <v>6000</v>
      </c>
      <c r="M156" s="230">
        <v>1500</v>
      </c>
      <c r="N156" s="229"/>
      <c r="O156" s="230">
        <v>4500</v>
      </c>
      <c r="P156" s="229"/>
      <c r="Q156" s="182">
        <f t="shared" si="52"/>
        <v>44500</v>
      </c>
      <c r="R156" s="123"/>
    </row>
    <row r="157" spans="1:18" ht="15.75" thickBot="1">
      <c r="A157" s="287"/>
      <c r="B157" s="288" t="s">
        <v>190</v>
      </c>
      <c r="C157" s="289"/>
      <c r="D157" s="280">
        <f>SUM(D154+D150+D148+D126+D121+D110+D100+D56+D53+D51+D43+D33+D29+D26+D24+D19+D15+D12+D140+D49+D41)</f>
        <v>67007257</v>
      </c>
      <c r="E157" s="280">
        <f t="shared" ref="E157:Q157" si="53">SUM(E154+E150+E148+E126+E121+E110+E100+E56+E53+E51+E43+E33+E29+E26+E24+E19+E15+E12+E140+E49)</f>
        <v>5196377</v>
      </c>
      <c r="F157" s="280">
        <f t="shared" si="53"/>
        <v>6316798</v>
      </c>
      <c r="G157" s="280">
        <f t="shared" si="53"/>
        <v>7496528</v>
      </c>
      <c r="H157" s="280">
        <f t="shared" si="53"/>
        <v>6509513</v>
      </c>
      <c r="I157" s="290">
        <f t="shared" si="53"/>
        <v>5807345</v>
      </c>
      <c r="J157" s="280">
        <f t="shared" si="53"/>
        <v>5339712</v>
      </c>
      <c r="K157" s="290">
        <f t="shared" si="53"/>
        <v>5147772</v>
      </c>
      <c r="L157" s="280">
        <f t="shared" si="53"/>
        <v>5085903</v>
      </c>
      <c r="M157" s="290">
        <f t="shared" si="53"/>
        <v>5182350</v>
      </c>
      <c r="N157" s="280">
        <f t="shared" si="53"/>
        <v>4583278</v>
      </c>
      <c r="O157" s="290">
        <f t="shared" si="53"/>
        <v>4251035</v>
      </c>
      <c r="P157" s="280">
        <f t="shared" si="53"/>
        <v>6140646</v>
      </c>
      <c r="Q157" s="278">
        <f t="shared" si="53"/>
        <v>67057257</v>
      </c>
      <c r="R157" s="123"/>
    </row>
    <row r="158" spans="1:18" hidden="1">
      <c r="A158" s="283"/>
      <c r="B158" s="284" t="s">
        <v>191</v>
      </c>
      <c r="C158" s="285"/>
      <c r="D158" s="286">
        <f t="shared" ref="D158:P158" si="54">SUM(D159:D159)</f>
        <v>2239712</v>
      </c>
      <c r="E158" s="279">
        <f t="shared" si="54"/>
        <v>19613.34</v>
      </c>
      <c r="F158" s="282">
        <f t="shared" si="54"/>
        <v>0</v>
      </c>
      <c r="G158" s="279">
        <f t="shared" si="54"/>
        <v>540314.41</v>
      </c>
      <c r="H158" s="282">
        <f t="shared" si="54"/>
        <v>19613.34</v>
      </c>
      <c r="I158" s="279">
        <f t="shared" si="54"/>
        <v>0</v>
      </c>
      <c r="J158" s="282">
        <f t="shared" si="54"/>
        <v>540314.41</v>
      </c>
      <c r="K158" s="279">
        <f t="shared" si="54"/>
        <v>19613.34</v>
      </c>
      <c r="L158" s="282">
        <f t="shared" si="54"/>
        <v>0</v>
      </c>
      <c r="M158" s="279">
        <f t="shared" si="54"/>
        <v>540314.41</v>
      </c>
      <c r="N158" s="282">
        <f t="shared" si="54"/>
        <v>19613.34</v>
      </c>
      <c r="O158" s="279">
        <f t="shared" si="54"/>
        <v>0</v>
      </c>
      <c r="P158" s="279">
        <f t="shared" si="54"/>
        <v>540314.41</v>
      </c>
      <c r="Q158" s="123">
        <f t="shared" si="52"/>
        <v>2239711</v>
      </c>
    </row>
    <row r="159" spans="1:18" hidden="1">
      <c r="A159" s="168"/>
      <c r="B159" s="169" t="s">
        <v>192</v>
      </c>
      <c r="C159" s="170" t="s">
        <v>193</v>
      </c>
      <c r="D159" s="147">
        <v>2239712</v>
      </c>
      <c r="E159" s="148">
        <v>19613.34</v>
      </c>
      <c r="F159" s="149"/>
      <c r="G159" s="148">
        <v>540314.41</v>
      </c>
      <c r="H159" s="149">
        <v>19613.34</v>
      </c>
      <c r="I159" s="148"/>
      <c r="J159" s="150">
        <v>540314.41</v>
      </c>
      <c r="K159" s="148">
        <v>19613.34</v>
      </c>
      <c r="L159" s="149"/>
      <c r="M159" s="148">
        <v>540314.41</v>
      </c>
      <c r="N159" s="149">
        <v>19613.34</v>
      </c>
      <c r="O159" s="148"/>
      <c r="P159" s="148">
        <v>540314.41</v>
      </c>
      <c r="Q159" s="123">
        <f t="shared" si="52"/>
        <v>2239711</v>
      </c>
    </row>
    <row r="160" spans="1:18" ht="15.75" hidden="1" thickBot="1">
      <c r="A160" s="171"/>
      <c r="B160" s="172" t="s">
        <v>194</v>
      </c>
      <c r="C160" s="173"/>
      <c r="D160" s="151">
        <f t="shared" ref="D160:H160" si="55">SUM(D157+D158)</f>
        <v>69246969</v>
      </c>
      <c r="E160" s="151">
        <f t="shared" si="55"/>
        <v>5215990.34</v>
      </c>
      <c r="F160" s="152">
        <f t="shared" si="55"/>
        <v>6316798</v>
      </c>
      <c r="G160" s="151">
        <f t="shared" si="55"/>
        <v>8036842.4100000001</v>
      </c>
      <c r="H160" s="152">
        <f t="shared" si="55"/>
        <v>6529126.3399999999</v>
      </c>
      <c r="I160" s="151">
        <f t="shared" ref="I160:P160" si="56">SUM(I157+I158)</f>
        <v>5807345</v>
      </c>
      <c r="J160" s="152">
        <f t="shared" si="56"/>
        <v>5880026.4100000001</v>
      </c>
      <c r="K160" s="151">
        <f t="shared" si="56"/>
        <v>5167385.34</v>
      </c>
      <c r="L160" s="152">
        <f t="shared" si="56"/>
        <v>5085903</v>
      </c>
      <c r="M160" s="151">
        <f t="shared" si="56"/>
        <v>5722664.4100000001</v>
      </c>
      <c r="N160" s="152">
        <f t="shared" si="56"/>
        <v>4602891.34</v>
      </c>
      <c r="O160" s="151">
        <f t="shared" si="56"/>
        <v>4251035</v>
      </c>
      <c r="P160" s="151">
        <f t="shared" si="56"/>
        <v>6680960.4100000001</v>
      </c>
      <c r="Q160" s="123">
        <f t="shared" si="52"/>
        <v>69296968</v>
      </c>
    </row>
  </sheetData>
  <mergeCells count="18">
    <mergeCell ref="M8:M10"/>
    <mergeCell ref="N8:N10"/>
    <mergeCell ref="A6:P6"/>
    <mergeCell ref="A7:P7"/>
    <mergeCell ref="A8:A10"/>
    <mergeCell ref="B8:B10"/>
    <mergeCell ref="C8:C10"/>
    <mergeCell ref="D8:D10"/>
    <mergeCell ref="E8:E10"/>
    <mergeCell ref="F8:F10"/>
    <mergeCell ref="G8:G10"/>
    <mergeCell ref="H8:H10"/>
    <mergeCell ref="O8:O10"/>
    <mergeCell ref="P8:P10"/>
    <mergeCell ref="I8:I10"/>
    <mergeCell ref="J8:J10"/>
    <mergeCell ref="K8:K10"/>
    <mergeCell ref="L8:L10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5"/>
  <sheetViews>
    <sheetView workbookViewId="0">
      <selection activeCell="M5" sqref="M5"/>
    </sheetView>
  </sheetViews>
  <sheetFormatPr defaultRowHeight="15"/>
  <cols>
    <col min="1" max="1" width="21.85546875" customWidth="1"/>
    <col min="2" max="2" width="9.85546875" bestFit="1" customWidth="1"/>
    <col min="8" max="8" width="10.140625" bestFit="1" customWidth="1"/>
    <col min="10" max="10" width="10.140625" bestFit="1" customWidth="1"/>
    <col min="14" max="14" width="10" customWidth="1"/>
    <col min="15" max="15" width="14.85546875" customWidth="1"/>
  </cols>
  <sheetData>
    <row r="1" spans="1:15" s="1" customFormat="1">
      <c r="M1" s="3" t="s">
        <v>1</v>
      </c>
    </row>
    <row r="2" spans="1:15" s="1" customFormat="1">
      <c r="M2" s="2" t="s">
        <v>299</v>
      </c>
    </row>
    <row r="3" spans="1:15" s="1" customFormat="1">
      <c r="M3" s="2" t="s">
        <v>0</v>
      </c>
    </row>
    <row r="4" spans="1:15" s="1" customFormat="1">
      <c r="M4" s="2" t="s">
        <v>300</v>
      </c>
    </row>
    <row r="5" spans="1:15" s="1" customFormat="1"/>
    <row r="6" spans="1:15" ht="15.75" thickBot="1">
      <c r="A6" s="353" t="s">
        <v>230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</row>
    <row r="7" spans="1:15" ht="15.75" thickBot="1">
      <c r="A7" s="20" t="s">
        <v>2</v>
      </c>
      <c r="B7" s="21" t="s">
        <v>3</v>
      </c>
      <c r="C7" s="21" t="s">
        <v>4</v>
      </c>
      <c r="D7" s="21" t="s">
        <v>5</v>
      </c>
      <c r="E7" s="21" t="s">
        <v>6</v>
      </c>
      <c r="F7" s="21" t="s">
        <v>7</v>
      </c>
      <c r="G7" s="21" t="s">
        <v>8</v>
      </c>
      <c r="H7" s="21" t="s">
        <v>9</v>
      </c>
      <c r="I7" s="21" t="s">
        <v>10</v>
      </c>
      <c r="J7" s="21" t="s">
        <v>11</v>
      </c>
      <c r="K7" s="21" t="s">
        <v>12</v>
      </c>
      <c r="L7" s="21" t="s">
        <v>13</v>
      </c>
      <c r="M7" s="21" t="s">
        <v>14</v>
      </c>
      <c r="N7" s="21" t="s">
        <v>15</v>
      </c>
      <c r="O7" s="23" t="s">
        <v>232</v>
      </c>
    </row>
    <row r="8" spans="1:15" ht="15.75" thickBot="1">
      <c r="A8" s="350" t="s">
        <v>16</v>
      </c>
      <c r="B8" s="351"/>
      <c r="C8" s="351"/>
      <c r="D8" s="351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24"/>
    </row>
    <row r="9" spans="1:15">
      <c r="A9" s="344" t="s">
        <v>231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6"/>
    </row>
    <row r="10" spans="1:15" ht="15.75" thickBot="1">
      <c r="A10" s="347" t="s">
        <v>23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9"/>
    </row>
    <row r="11" spans="1:15">
      <c r="A11" s="25" t="s">
        <v>19</v>
      </c>
      <c r="B11" s="26">
        <f>SUM(B12)</f>
        <v>0</v>
      </c>
      <c r="C11" s="26">
        <f t="shared" ref="C11:N11" si="0">SUM(C12)</f>
        <v>0</v>
      </c>
      <c r="D11" s="26">
        <f t="shared" si="0"/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0</v>
      </c>
      <c r="J11" s="26">
        <f t="shared" si="0"/>
        <v>0</v>
      </c>
      <c r="K11" s="26">
        <f t="shared" si="0"/>
        <v>0</v>
      </c>
      <c r="L11" s="26">
        <f t="shared" si="0"/>
        <v>0</v>
      </c>
      <c r="M11" s="26">
        <f t="shared" si="0"/>
        <v>0</v>
      </c>
      <c r="N11" s="26">
        <f t="shared" si="0"/>
        <v>0</v>
      </c>
      <c r="O11" s="22">
        <f>SUM(C11:N11)</f>
        <v>0</v>
      </c>
    </row>
    <row r="12" spans="1:15">
      <c r="A12" s="27"/>
      <c r="B12" s="14"/>
      <c r="C12" s="14"/>
      <c r="D12" s="14"/>
      <c r="E12" s="17"/>
      <c r="F12" s="17"/>
      <c r="G12" s="14"/>
      <c r="H12" s="18"/>
      <c r="I12" s="14"/>
      <c r="J12" s="18"/>
      <c r="K12" s="14"/>
      <c r="L12" s="14"/>
      <c r="M12" s="14"/>
      <c r="N12" s="19"/>
      <c r="O12" s="16">
        <f>SUM(C12:N12)</f>
        <v>0</v>
      </c>
    </row>
    <row r="13" spans="1:15">
      <c r="A13" s="10" t="s">
        <v>20</v>
      </c>
      <c r="B13" s="11">
        <f>SUM(B14)</f>
        <v>100000</v>
      </c>
      <c r="C13" s="11">
        <f t="shared" ref="C13:N13" si="1">SUM(C14)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  <c r="I13" s="11">
        <f t="shared" si="1"/>
        <v>100000</v>
      </c>
      <c r="J13" s="11">
        <f t="shared" si="1"/>
        <v>0</v>
      </c>
      <c r="K13" s="11">
        <f t="shared" si="1"/>
        <v>0</v>
      </c>
      <c r="L13" s="11">
        <f t="shared" si="1"/>
        <v>0</v>
      </c>
      <c r="M13" s="11">
        <f t="shared" si="1"/>
        <v>0</v>
      </c>
      <c r="N13" s="11">
        <f t="shared" si="1"/>
        <v>0</v>
      </c>
      <c r="O13" s="12">
        <f>SUM(C13:N13)</f>
        <v>100000</v>
      </c>
    </row>
    <row r="14" spans="1:15">
      <c r="A14" s="13" t="s">
        <v>21</v>
      </c>
      <c r="B14" s="14">
        <v>100000</v>
      </c>
      <c r="C14" s="14"/>
      <c r="D14" s="14"/>
      <c r="E14" s="17"/>
      <c r="F14" s="17"/>
      <c r="G14" s="14"/>
      <c r="H14" s="18"/>
      <c r="I14" s="14">
        <v>100000</v>
      </c>
      <c r="J14" s="179"/>
      <c r="K14" s="14"/>
      <c r="L14" s="14"/>
      <c r="M14" s="14"/>
      <c r="N14" s="15"/>
      <c r="O14" s="16">
        <f>SUM(C14:N14)</f>
        <v>100000</v>
      </c>
    </row>
    <row r="15" spans="1:15" ht="15.75" thickBot="1">
      <c r="A15" s="7" t="s">
        <v>22</v>
      </c>
      <c r="B15" s="8">
        <f>SUM(B11-B13)</f>
        <v>-100000</v>
      </c>
      <c r="C15" s="8">
        <f t="shared" ref="C15:N15" si="2">SUM(C11-C13)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-100000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  <c r="O15" s="9">
        <f>SUM(C15:N15)</f>
        <v>-100000</v>
      </c>
    </row>
    <row r="16" spans="1:15" ht="15.75" thickBot="1">
      <c r="A16" s="20" t="s">
        <v>2</v>
      </c>
      <c r="B16" s="21" t="s">
        <v>3</v>
      </c>
      <c r="C16" s="21" t="s">
        <v>4</v>
      </c>
      <c r="D16" s="21" t="s">
        <v>5</v>
      </c>
      <c r="E16" s="21" t="s">
        <v>6</v>
      </c>
      <c r="F16" s="21" t="s">
        <v>7</v>
      </c>
      <c r="G16" s="21" t="s">
        <v>8</v>
      </c>
      <c r="H16" s="21" t="s">
        <v>9</v>
      </c>
      <c r="I16" s="21" t="s">
        <v>10</v>
      </c>
      <c r="J16" s="21" t="s">
        <v>11</v>
      </c>
      <c r="K16" s="21" t="s">
        <v>12</v>
      </c>
      <c r="L16" s="21" t="s">
        <v>13</v>
      </c>
      <c r="M16" s="21" t="s">
        <v>14</v>
      </c>
      <c r="N16" s="21" t="s">
        <v>15</v>
      </c>
      <c r="O16" s="23" t="s">
        <v>232</v>
      </c>
    </row>
    <row r="17" spans="1:15" ht="15.75" thickBot="1">
      <c r="A17" s="350" t="s">
        <v>16</v>
      </c>
      <c r="B17" s="351"/>
      <c r="C17" s="351"/>
      <c r="D17" s="351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24"/>
    </row>
    <row r="18" spans="1:15">
      <c r="A18" s="344" t="s">
        <v>233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6"/>
    </row>
    <row r="19" spans="1:15" ht="15.75" thickBot="1">
      <c r="A19" s="347" t="s">
        <v>23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9"/>
    </row>
    <row r="20" spans="1:15">
      <c r="A20" s="25" t="s">
        <v>19</v>
      </c>
      <c r="B20" s="26">
        <f t="shared" ref="B20:N20" si="3">SUM(B21:B21)</f>
        <v>0</v>
      </c>
      <c r="C20" s="26">
        <f t="shared" si="3"/>
        <v>0</v>
      </c>
      <c r="D20" s="26">
        <f t="shared" si="3"/>
        <v>0</v>
      </c>
      <c r="E20" s="26">
        <f t="shared" si="3"/>
        <v>0</v>
      </c>
      <c r="F20" s="26">
        <f t="shared" si="3"/>
        <v>0</v>
      </c>
      <c r="G20" s="26">
        <f t="shared" si="3"/>
        <v>0</v>
      </c>
      <c r="H20" s="26">
        <f t="shared" si="3"/>
        <v>0</v>
      </c>
      <c r="I20" s="26">
        <f t="shared" si="3"/>
        <v>0</v>
      </c>
      <c r="J20" s="26">
        <f t="shared" si="3"/>
        <v>0</v>
      </c>
      <c r="K20" s="26">
        <f t="shared" si="3"/>
        <v>0</v>
      </c>
      <c r="L20" s="26">
        <f t="shared" si="3"/>
        <v>0</v>
      </c>
      <c r="M20" s="26">
        <f t="shared" si="3"/>
        <v>0</v>
      </c>
      <c r="N20" s="26">
        <f t="shared" si="3"/>
        <v>0</v>
      </c>
      <c r="O20" s="22">
        <f>SUM(C20:N20)</f>
        <v>0</v>
      </c>
    </row>
    <row r="21" spans="1:15" s="4" customForma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31">
        <f>SUM(C21:N21)</f>
        <v>0</v>
      </c>
    </row>
    <row r="22" spans="1:15">
      <c r="A22" s="10" t="s">
        <v>20</v>
      </c>
      <c r="B22" s="11">
        <f>SUM(B23)</f>
        <v>100000</v>
      </c>
      <c r="C22" s="11">
        <f t="shared" ref="C22" si="4">SUM(C23)</f>
        <v>0</v>
      </c>
      <c r="D22" s="11">
        <f t="shared" ref="D22" si="5">SUM(D23)</f>
        <v>0</v>
      </c>
      <c r="E22" s="11">
        <f t="shared" ref="E22" si="6">SUM(E23)</f>
        <v>0</v>
      </c>
      <c r="F22" s="11">
        <f t="shared" ref="F22" si="7">SUM(F23)</f>
        <v>0</v>
      </c>
      <c r="G22" s="11">
        <f t="shared" ref="G22" si="8">SUM(G23)</f>
        <v>0</v>
      </c>
      <c r="H22" s="11">
        <f t="shared" ref="H22" si="9">SUM(H23)</f>
        <v>0</v>
      </c>
      <c r="I22" s="11">
        <f t="shared" ref="I22" si="10">SUM(I23)</f>
        <v>0</v>
      </c>
      <c r="J22" s="11">
        <f t="shared" ref="J22" si="11">SUM(J23)</f>
        <v>0</v>
      </c>
      <c r="K22" s="11">
        <f t="shared" ref="K22" si="12">SUM(K23)</f>
        <v>100000</v>
      </c>
      <c r="L22" s="11">
        <f t="shared" ref="L22" si="13">SUM(L23)</f>
        <v>0</v>
      </c>
      <c r="M22" s="11">
        <f t="shared" ref="M22" si="14">SUM(M23)</f>
        <v>0</v>
      </c>
      <c r="N22" s="11">
        <f t="shared" ref="N22" si="15">SUM(N23)</f>
        <v>0</v>
      </c>
      <c r="O22" s="12">
        <f>SUM(C22:N22)</f>
        <v>100000</v>
      </c>
    </row>
    <row r="23" spans="1:15">
      <c r="A23" s="13" t="s">
        <v>21</v>
      </c>
      <c r="B23" s="14">
        <v>100000</v>
      </c>
      <c r="C23" s="14"/>
      <c r="D23" s="14"/>
      <c r="E23" s="17"/>
      <c r="F23" s="17"/>
      <c r="G23" s="14"/>
      <c r="H23" s="18"/>
      <c r="I23" s="14"/>
      <c r="J23" s="179"/>
      <c r="K23" s="14">
        <v>100000</v>
      </c>
      <c r="L23" s="14"/>
      <c r="M23" s="14"/>
      <c r="N23" s="15"/>
      <c r="O23" s="16">
        <f>SUM(C23:N23)</f>
        <v>100000</v>
      </c>
    </row>
    <row r="24" spans="1:15" ht="15.75" thickBot="1">
      <c r="A24" s="7" t="s">
        <v>22</v>
      </c>
      <c r="B24" s="8">
        <f t="shared" ref="B24:N24" si="16">SUM(B20-B22)</f>
        <v>-100000</v>
      </c>
      <c r="C24" s="8">
        <f t="shared" si="16"/>
        <v>0</v>
      </c>
      <c r="D24" s="8">
        <f t="shared" si="16"/>
        <v>0</v>
      </c>
      <c r="E24" s="8">
        <f t="shared" si="16"/>
        <v>0</v>
      </c>
      <c r="F24" s="8">
        <f t="shared" si="16"/>
        <v>0</v>
      </c>
      <c r="G24" s="8">
        <f t="shared" si="16"/>
        <v>0</v>
      </c>
      <c r="H24" s="8">
        <f t="shared" si="16"/>
        <v>0</v>
      </c>
      <c r="I24" s="8">
        <f t="shared" si="16"/>
        <v>0</v>
      </c>
      <c r="J24" s="8">
        <f t="shared" si="16"/>
        <v>0</v>
      </c>
      <c r="K24" s="8">
        <f t="shared" si="16"/>
        <v>-100000</v>
      </c>
      <c r="L24" s="8">
        <f t="shared" si="16"/>
        <v>0</v>
      </c>
      <c r="M24" s="8">
        <f t="shared" si="16"/>
        <v>0</v>
      </c>
      <c r="N24" s="8">
        <f t="shared" si="16"/>
        <v>0</v>
      </c>
      <c r="O24" s="9">
        <f>SUM(C24:N24)</f>
        <v>-100000</v>
      </c>
    </row>
    <row r="25" spans="1:15" ht="15.75" thickBot="1">
      <c r="A25" s="236" t="s">
        <v>2</v>
      </c>
      <c r="B25" s="237" t="s">
        <v>3</v>
      </c>
      <c r="C25" s="237" t="s">
        <v>4</v>
      </c>
      <c r="D25" s="237" t="s">
        <v>5</v>
      </c>
      <c r="E25" s="237" t="s">
        <v>6</v>
      </c>
      <c r="F25" s="237" t="s">
        <v>7</v>
      </c>
      <c r="G25" s="237" t="s">
        <v>8</v>
      </c>
      <c r="H25" s="237" t="s">
        <v>9</v>
      </c>
      <c r="I25" s="237" t="s">
        <v>10</v>
      </c>
      <c r="J25" s="237" t="s">
        <v>11</v>
      </c>
      <c r="K25" s="237" t="s">
        <v>12</v>
      </c>
      <c r="L25" s="237" t="s">
        <v>13</v>
      </c>
      <c r="M25" s="237" t="s">
        <v>14</v>
      </c>
      <c r="N25" s="237" t="s">
        <v>15</v>
      </c>
      <c r="O25" s="238" t="s">
        <v>232</v>
      </c>
    </row>
    <row r="26" spans="1:15" ht="15.75" thickBot="1">
      <c r="A26" s="355" t="s">
        <v>16</v>
      </c>
      <c r="B26" s="356"/>
      <c r="C26" s="356"/>
      <c r="D26" s="356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239"/>
    </row>
    <row r="27" spans="1:15">
      <c r="A27" s="358" t="s">
        <v>234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60"/>
    </row>
    <row r="28" spans="1:15" ht="15.75" thickBot="1">
      <c r="A28" s="361" t="s">
        <v>23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3"/>
    </row>
    <row r="29" spans="1:15">
      <c r="A29" s="240" t="s">
        <v>19</v>
      </c>
      <c r="B29" s="241">
        <f>SUM(B30)</f>
        <v>0</v>
      </c>
      <c r="C29" s="241">
        <f t="shared" ref="C29" si="17">SUM(C30)</f>
        <v>0</v>
      </c>
      <c r="D29" s="241">
        <f t="shared" ref="D29" si="18">SUM(D30)</f>
        <v>0</v>
      </c>
      <c r="E29" s="241">
        <f t="shared" ref="E29" si="19">SUM(E30)</f>
        <v>0</v>
      </c>
      <c r="F29" s="241">
        <f t="shared" ref="F29" si="20">SUM(F30)</f>
        <v>0</v>
      </c>
      <c r="G29" s="241">
        <f t="shared" ref="G29" si="21">SUM(G30)</f>
        <v>0</v>
      </c>
      <c r="H29" s="241">
        <f t="shared" ref="H29" si="22">SUM(H30)</f>
        <v>0</v>
      </c>
      <c r="I29" s="241">
        <f t="shared" ref="I29" si="23">SUM(I30)</f>
        <v>0</v>
      </c>
      <c r="J29" s="241">
        <f t="shared" ref="J29" si="24">SUM(J30)</f>
        <v>0</v>
      </c>
      <c r="K29" s="241">
        <f t="shared" ref="K29" si="25">SUM(K30)</f>
        <v>0</v>
      </c>
      <c r="L29" s="241">
        <f t="shared" ref="L29" si="26">SUM(L30)</f>
        <v>0</v>
      </c>
      <c r="M29" s="241">
        <f t="shared" ref="M29" si="27">SUM(M30)</f>
        <v>0</v>
      </c>
      <c r="N29" s="241">
        <f t="shared" ref="N29" si="28">SUM(N30)</f>
        <v>0</v>
      </c>
      <c r="O29" s="242">
        <f>SUM(C29:N29)</f>
        <v>0</v>
      </c>
    </row>
    <row r="30" spans="1:15" ht="13.5" customHeight="1">
      <c r="A30" s="243"/>
      <c r="B30" s="176"/>
      <c r="C30" s="176"/>
      <c r="D30" s="176"/>
      <c r="E30" s="244"/>
      <c r="F30" s="244"/>
      <c r="G30" s="176"/>
      <c r="H30" s="245"/>
      <c r="I30" s="176"/>
      <c r="J30" s="245"/>
      <c r="K30" s="176"/>
      <c r="L30" s="176"/>
      <c r="M30" s="176"/>
      <c r="N30" s="246"/>
      <c r="O30" s="247">
        <f>SUM(C30:N30)</f>
        <v>0</v>
      </c>
    </row>
    <row r="31" spans="1:15">
      <c r="A31" s="248" t="s">
        <v>20</v>
      </c>
      <c r="B31" s="249">
        <f>SUM(B32)</f>
        <v>126075</v>
      </c>
      <c r="C31" s="249">
        <f t="shared" ref="C31" si="29">SUM(C32)</f>
        <v>0</v>
      </c>
      <c r="D31" s="249">
        <f t="shared" ref="D31" si="30">SUM(D32)</f>
        <v>126075</v>
      </c>
      <c r="E31" s="249">
        <f t="shared" ref="E31" si="31">SUM(E32)</f>
        <v>0</v>
      </c>
      <c r="F31" s="249">
        <f t="shared" ref="F31" si="32">SUM(F32)</f>
        <v>0</v>
      </c>
      <c r="G31" s="249">
        <f t="shared" ref="G31" si="33">SUM(G32)</f>
        <v>0</v>
      </c>
      <c r="H31" s="249">
        <f t="shared" ref="H31" si="34">SUM(H32)</f>
        <v>0</v>
      </c>
      <c r="I31" s="249">
        <f t="shared" ref="I31" si="35">SUM(I32)</f>
        <v>0</v>
      </c>
      <c r="J31" s="249">
        <f t="shared" ref="J31" si="36">SUM(J32)</f>
        <v>0</v>
      </c>
      <c r="K31" s="249">
        <f t="shared" ref="K31" si="37">SUM(K32)</f>
        <v>0</v>
      </c>
      <c r="L31" s="249">
        <f t="shared" ref="L31" si="38">SUM(L32)</f>
        <v>0</v>
      </c>
      <c r="M31" s="249">
        <f t="shared" ref="M31" si="39">SUM(M32)</f>
        <v>0</v>
      </c>
      <c r="N31" s="249">
        <f t="shared" ref="N31" si="40">SUM(N32)</f>
        <v>0</v>
      </c>
      <c r="O31" s="250">
        <f>SUM(C31:N31)</f>
        <v>126075</v>
      </c>
    </row>
    <row r="32" spans="1:15">
      <c r="A32" s="175" t="s">
        <v>21</v>
      </c>
      <c r="B32" s="176">
        <v>126075</v>
      </c>
      <c r="C32" s="176"/>
      <c r="D32" s="176">
        <v>126075</v>
      </c>
      <c r="E32" s="244"/>
      <c r="F32" s="244"/>
      <c r="G32" s="244"/>
      <c r="H32" s="244"/>
      <c r="I32" s="176"/>
      <c r="J32" s="245"/>
      <c r="K32" s="176"/>
      <c r="L32" s="176"/>
      <c r="M32" s="176"/>
      <c r="N32" s="177"/>
      <c r="O32" s="247">
        <f>SUM(C32:N32)</f>
        <v>126075</v>
      </c>
    </row>
    <row r="33" spans="1:15" ht="15.75" thickBot="1">
      <c r="A33" s="251" t="s">
        <v>22</v>
      </c>
      <c r="B33" s="252">
        <f>SUM(B29-B31)</f>
        <v>-126075</v>
      </c>
      <c r="C33" s="252">
        <f t="shared" ref="C33:N33" si="41">SUM(C29-C31)</f>
        <v>0</v>
      </c>
      <c r="D33" s="252">
        <f t="shared" si="41"/>
        <v>-126075</v>
      </c>
      <c r="E33" s="252">
        <f t="shared" si="41"/>
        <v>0</v>
      </c>
      <c r="F33" s="252">
        <f t="shared" si="41"/>
        <v>0</v>
      </c>
      <c r="G33" s="252">
        <f t="shared" si="41"/>
        <v>0</v>
      </c>
      <c r="H33" s="252">
        <f t="shared" si="41"/>
        <v>0</v>
      </c>
      <c r="I33" s="252">
        <f t="shared" si="41"/>
        <v>0</v>
      </c>
      <c r="J33" s="252">
        <f t="shared" si="41"/>
        <v>0</v>
      </c>
      <c r="K33" s="252">
        <f t="shared" si="41"/>
        <v>0</v>
      </c>
      <c r="L33" s="252">
        <f t="shared" si="41"/>
        <v>0</v>
      </c>
      <c r="M33" s="252">
        <f t="shared" si="41"/>
        <v>0</v>
      </c>
      <c r="N33" s="252">
        <f t="shared" si="41"/>
        <v>0</v>
      </c>
      <c r="O33" s="253">
        <f>SUM(C33:N33)</f>
        <v>-126075</v>
      </c>
    </row>
    <row r="34" spans="1:15" ht="15.75" thickBot="1">
      <c r="A34" s="20" t="s">
        <v>2</v>
      </c>
      <c r="B34" s="21" t="s">
        <v>3</v>
      </c>
      <c r="C34" s="21" t="s">
        <v>4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1" t="s">
        <v>10</v>
      </c>
      <c r="J34" s="21" t="s">
        <v>11</v>
      </c>
      <c r="K34" s="21" t="s">
        <v>12</v>
      </c>
      <c r="L34" s="21" t="s">
        <v>13</v>
      </c>
      <c r="M34" s="21" t="s">
        <v>14</v>
      </c>
      <c r="N34" s="21" t="s">
        <v>15</v>
      </c>
      <c r="O34" s="23" t="s">
        <v>232</v>
      </c>
    </row>
    <row r="35" spans="1:15" ht="15.75" thickBot="1">
      <c r="A35" s="350" t="s">
        <v>16</v>
      </c>
      <c r="B35" s="351"/>
      <c r="C35" s="351"/>
      <c r="D35" s="351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24"/>
    </row>
    <row r="36" spans="1:15">
      <c r="A36" s="344" t="s">
        <v>235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6"/>
    </row>
    <row r="37" spans="1:15" ht="15.75" thickBot="1">
      <c r="A37" s="347" t="s">
        <v>18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9"/>
    </row>
    <row r="38" spans="1:15">
      <c r="A38" s="25" t="s">
        <v>19</v>
      </c>
      <c r="B38" s="26">
        <f>SUM(B39)</f>
        <v>0</v>
      </c>
      <c r="C38" s="26">
        <f t="shared" ref="C38" si="42">SUM(C39)</f>
        <v>0</v>
      </c>
      <c r="D38" s="26">
        <f t="shared" ref="D38" si="43">SUM(D39)</f>
        <v>0</v>
      </c>
      <c r="E38" s="26">
        <f t="shared" ref="E38" si="44">SUM(E39)</f>
        <v>0</v>
      </c>
      <c r="F38" s="26">
        <f t="shared" ref="F38" si="45">SUM(F39)</f>
        <v>0</v>
      </c>
      <c r="G38" s="26">
        <f t="shared" ref="G38" si="46">SUM(G39)</f>
        <v>0</v>
      </c>
      <c r="H38" s="26">
        <f t="shared" ref="H38" si="47">SUM(H39)</f>
        <v>0</v>
      </c>
      <c r="I38" s="26">
        <f t="shared" ref="I38" si="48">SUM(I39)</f>
        <v>0</v>
      </c>
      <c r="J38" s="26">
        <f t="shared" ref="J38" si="49">SUM(J39)</f>
        <v>0</v>
      </c>
      <c r="K38" s="26">
        <f t="shared" ref="K38" si="50">SUM(K39)</f>
        <v>0</v>
      </c>
      <c r="L38" s="26">
        <f t="shared" ref="L38" si="51">SUM(L39)</f>
        <v>0</v>
      </c>
      <c r="M38" s="26">
        <f t="shared" ref="M38" si="52">SUM(M39)</f>
        <v>0</v>
      </c>
      <c r="N38" s="26">
        <f t="shared" ref="N38" si="53">SUM(N39)</f>
        <v>0</v>
      </c>
      <c r="O38" s="22">
        <f>SUM(C38:N38)</f>
        <v>0</v>
      </c>
    </row>
    <row r="39" spans="1:15">
      <c r="A39" s="27"/>
      <c r="B39" s="14"/>
      <c r="C39" s="14"/>
      <c r="D39" s="14"/>
      <c r="E39" s="17"/>
      <c r="F39" s="17"/>
      <c r="G39" s="14"/>
      <c r="H39" s="18"/>
      <c r="I39" s="14"/>
      <c r="J39" s="18"/>
      <c r="K39" s="14"/>
      <c r="L39" s="14"/>
      <c r="M39" s="14"/>
      <c r="N39" s="19"/>
      <c r="O39" s="16">
        <f>SUM(C39:N39)</f>
        <v>0</v>
      </c>
    </row>
    <row r="40" spans="1:15">
      <c r="A40" s="10" t="s">
        <v>20</v>
      </c>
      <c r="B40" s="11">
        <f>SUM(B41)</f>
        <v>30000</v>
      </c>
      <c r="C40" s="11">
        <f t="shared" ref="C40" si="54">SUM(C41)</f>
        <v>0</v>
      </c>
      <c r="D40" s="11">
        <f t="shared" ref="D40" si="55">SUM(D41)</f>
        <v>0</v>
      </c>
      <c r="E40" s="11">
        <f t="shared" ref="E40" si="56">SUM(E41)</f>
        <v>30000</v>
      </c>
      <c r="F40" s="11">
        <f t="shared" ref="F40" si="57">SUM(F41)</f>
        <v>0</v>
      </c>
      <c r="G40" s="11">
        <f t="shared" ref="G40" si="58">SUM(G41)</f>
        <v>0</v>
      </c>
      <c r="H40" s="11">
        <f t="shared" ref="H40" si="59">SUM(H41)</f>
        <v>0</v>
      </c>
      <c r="I40" s="11">
        <f t="shared" ref="I40" si="60">SUM(I41)</f>
        <v>0</v>
      </c>
      <c r="J40" s="11">
        <f t="shared" ref="J40" si="61">SUM(J41)</f>
        <v>0</v>
      </c>
      <c r="K40" s="11">
        <f t="shared" ref="K40" si="62">SUM(K41)</f>
        <v>0</v>
      </c>
      <c r="L40" s="11">
        <f t="shared" ref="L40" si="63">SUM(L41)</f>
        <v>0</v>
      </c>
      <c r="M40" s="11">
        <f t="shared" ref="M40" si="64">SUM(M41)</f>
        <v>0</v>
      </c>
      <c r="N40" s="11">
        <f t="shared" ref="N40" si="65">SUM(N41)</f>
        <v>0</v>
      </c>
      <c r="O40" s="12">
        <f>SUM(C40:N40)</f>
        <v>30000</v>
      </c>
    </row>
    <row r="41" spans="1:15">
      <c r="A41" s="13" t="s">
        <v>21</v>
      </c>
      <c r="B41" s="14">
        <v>30000</v>
      </c>
      <c r="C41" s="14"/>
      <c r="D41" s="14"/>
      <c r="E41" s="17">
        <v>30000</v>
      </c>
      <c r="F41" s="17"/>
      <c r="G41" s="14"/>
      <c r="H41" s="18"/>
      <c r="I41" s="14"/>
      <c r="J41" s="18"/>
      <c r="K41" s="14"/>
      <c r="L41" s="14"/>
      <c r="M41" s="14"/>
      <c r="N41" s="15"/>
      <c r="O41" s="16">
        <f>SUM(C41:N41)</f>
        <v>30000</v>
      </c>
    </row>
    <row r="42" spans="1:15" ht="15.75" thickBot="1">
      <c r="A42" s="7" t="s">
        <v>22</v>
      </c>
      <c r="B42" s="8">
        <f>SUM(B38-B40)</f>
        <v>-30000</v>
      </c>
      <c r="C42" s="8">
        <f t="shared" ref="C42:N42" si="66">SUM(C38-C40)</f>
        <v>0</v>
      </c>
      <c r="D42" s="8">
        <f t="shared" si="66"/>
        <v>0</v>
      </c>
      <c r="E42" s="8">
        <f t="shared" si="66"/>
        <v>-30000</v>
      </c>
      <c r="F42" s="8">
        <f t="shared" si="66"/>
        <v>0</v>
      </c>
      <c r="G42" s="8">
        <f t="shared" si="66"/>
        <v>0</v>
      </c>
      <c r="H42" s="8">
        <f t="shared" si="66"/>
        <v>0</v>
      </c>
      <c r="I42" s="8">
        <f t="shared" si="66"/>
        <v>0</v>
      </c>
      <c r="J42" s="8">
        <f t="shared" si="66"/>
        <v>0</v>
      </c>
      <c r="K42" s="8">
        <f t="shared" si="66"/>
        <v>0</v>
      </c>
      <c r="L42" s="8">
        <f t="shared" si="66"/>
        <v>0</v>
      </c>
      <c r="M42" s="8">
        <f t="shared" si="66"/>
        <v>0</v>
      </c>
      <c r="N42" s="8">
        <f t="shared" si="66"/>
        <v>0</v>
      </c>
      <c r="O42" s="9">
        <f>SUM(C42:N42)</f>
        <v>-30000</v>
      </c>
    </row>
    <row r="43" spans="1:15" ht="15.75" thickBot="1">
      <c r="A43" s="20" t="s">
        <v>2</v>
      </c>
      <c r="B43" s="21" t="s">
        <v>3</v>
      </c>
      <c r="C43" s="21" t="s">
        <v>4</v>
      </c>
      <c r="D43" s="21" t="s">
        <v>5</v>
      </c>
      <c r="E43" s="21" t="s">
        <v>6</v>
      </c>
      <c r="F43" s="21" t="s">
        <v>7</v>
      </c>
      <c r="G43" s="21" t="s">
        <v>8</v>
      </c>
      <c r="H43" s="21" t="s">
        <v>9</v>
      </c>
      <c r="I43" s="21" t="s">
        <v>10</v>
      </c>
      <c r="J43" s="21" t="s">
        <v>11</v>
      </c>
      <c r="K43" s="21" t="s">
        <v>12</v>
      </c>
      <c r="L43" s="21" t="s">
        <v>13</v>
      </c>
      <c r="M43" s="21" t="s">
        <v>14</v>
      </c>
      <c r="N43" s="21" t="s">
        <v>15</v>
      </c>
      <c r="O43" s="23" t="s">
        <v>232</v>
      </c>
    </row>
    <row r="44" spans="1:15" ht="15.75" thickBot="1">
      <c r="A44" s="350" t="s">
        <v>16</v>
      </c>
      <c r="B44" s="351"/>
      <c r="C44" s="351"/>
      <c r="D44" s="351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24"/>
    </row>
    <row r="45" spans="1:15">
      <c r="A45" s="344" t="s">
        <v>236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6"/>
    </row>
    <row r="46" spans="1:15" ht="15.75" thickBot="1">
      <c r="A46" s="347" t="s">
        <v>23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9"/>
    </row>
    <row r="47" spans="1:15">
      <c r="A47" s="25" t="s">
        <v>19</v>
      </c>
      <c r="B47" s="26">
        <f>SUM(B48)</f>
        <v>0</v>
      </c>
      <c r="C47" s="26">
        <f t="shared" ref="C47" si="67">SUM(C48)</f>
        <v>0</v>
      </c>
      <c r="D47" s="26">
        <f t="shared" ref="D47" si="68">SUM(D48)</f>
        <v>0</v>
      </c>
      <c r="E47" s="26">
        <f t="shared" ref="E47" si="69">SUM(E48)</f>
        <v>0</v>
      </c>
      <c r="F47" s="26">
        <f t="shared" ref="F47" si="70">SUM(F48)</f>
        <v>0</v>
      </c>
      <c r="G47" s="26">
        <f t="shared" ref="G47" si="71">SUM(G48)</f>
        <v>0</v>
      </c>
      <c r="H47" s="26">
        <f t="shared" ref="H47" si="72">SUM(H48)</f>
        <v>0</v>
      </c>
      <c r="I47" s="26">
        <f t="shared" ref="I47" si="73">SUM(I48)</f>
        <v>0</v>
      </c>
      <c r="J47" s="26">
        <f t="shared" ref="J47" si="74">SUM(J48)</f>
        <v>0</v>
      </c>
      <c r="K47" s="26">
        <f t="shared" ref="K47" si="75">SUM(K48)</f>
        <v>0</v>
      </c>
      <c r="L47" s="26">
        <f t="shared" ref="L47" si="76">SUM(L48)</f>
        <v>0</v>
      </c>
      <c r="M47" s="26">
        <f t="shared" ref="M47" si="77">SUM(M48)</f>
        <v>0</v>
      </c>
      <c r="N47" s="26">
        <f t="shared" ref="N47" si="78">SUM(N48)</f>
        <v>0</v>
      </c>
      <c r="O47" s="22">
        <f>SUM(C47:N47)</f>
        <v>0</v>
      </c>
    </row>
    <row r="48" spans="1:15" ht="15" customHeight="1">
      <c r="A48" s="27"/>
      <c r="B48" s="14"/>
      <c r="C48" s="14"/>
      <c r="D48" s="14"/>
      <c r="E48" s="17"/>
      <c r="F48" s="17"/>
      <c r="G48" s="14"/>
      <c r="H48" s="18"/>
      <c r="I48" s="14"/>
      <c r="J48" s="18"/>
      <c r="K48" s="14"/>
      <c r="L48" s="14"/>
      <c r="M48" s="14"/>
      <c r="N48" s="19"/>
      <c r="O48" s="16">
        <f>SUM(C48:N48)</f>
        <v>0</v>
      </c>
    </row>
    <row r="49" spans="1:15" ht="15" customHeight="1">
      <c r="A49" s="10" t="s">
        <v>20</v>
      </c>
      <c r="B49" s="11">
        <f>SUM(B50)</f>
        <v>15000</v>
      </c>
      <c r="C49" s="11">
        <f t="shared" ref="C49" si="79">SUM(C50)</f>
        <v>0</v>
      </c>
      <c r="D49" s="11">
        <f t="shared" ref="D49" si="80">SUM(D50)</f>
        <v>0</v>
      </c>
      <c r="E49" s="11">
        <f t="shared" ref="E49" si="81">SUM(E50)</f>
        <v>15000</v>
      </c>
      <c r="F49" s="11">
        <f t="shared" ref="F49" si="82">SUM(F50)</f>
        <v>0</v>
      </c>
      <c r="G49" s="11">
        <f t="shared" ref="G49" si="83">SUM(G50)</f>
        <v>0</v>
      </c>
      <c r="H49" s="11">
        <f t="shared" ref="H49" si="84">SUM(H50)</f>
        <v>0</v>
      </c>
      <c r="I49" s="11">
        <f t="shared" ref="I49" si="85">SUM(I50)</f>
        <v>0</v>
      </c>
      <c r="J49" s="11">
        <f t="shared" ref="J49" si="86">SUM(J50)</f>
        <v>0</v>
      </c>
      <c r="K49" s="11">
        <f t="shared" ref="K49" si="87">SUM(K50)</f>
        <v>0</v>
      </c>
      <c r="L49" s="11">
        <f t="shared" ref="L49" si="88">SUM(L50)</f>
        <v>0</v>
      </c>
      <c r="M49" s="11">
        <f t="shared" ref="M49" si="89">SUM(M50)</f>
        <v>0</v>
      </c>
      <c r="N49" s="11">
        <f t="shared" ref="N49" si="90">SUM(N50)</f>
        <v>0</v>
      </c>
      <c r="O49" s="12">
        <f>SUM(C49:N49)</f>
        <v>15000</v>
      </c>
    </row>
    <row r="50" spans="1:15" ht="15" customHeight="1">
      <c r="A50" s="13" t="s">
        <v>21</v>
      </c>
      <c r="B50" s="14">
        <v>15000</v>
      </c>
      <c r="C50" s="14"/>
      <c r="D50" s="14"/>
      <c r="E50" s="17">
        <v>15000</v>
      </c>
      <c r="F50" s="17"/>
      <c r="G50" s="14"/>
      <c r="H50" s="18"/>
      <c r="I50" s="14"/>
      <c r="J50" s="179"/>
      <c r="K50" s="14"/>
      <c r="L50" s="14"/>
      <c r="M50" s="14"/>
      <c r="N50" s="15"/>
      <c r="O50" s="16">
        <f>SUM(C50:N50)</f>
        <v>15000</v>
      </c>
    </row>
    <row r="51" spans="1:15" ht="15.75" thickBot="1">
      <c r="A51" s="7" t="s">
        <v>22</v>
      </c>
      <c r="B51" s="8">
        <f>SUM(B47-B49)</f>
        <v>-15000</v>
      </c>
      <c r="C51" s="8">
        <f t="shared" ref="C51:N51" si="91">SUM(C47-C49)</f>
        <v>0</v>
      </c>
      <c r="D51" s="8">
        <f t="shared" si="91"/>
        <v>0</v>
      </c>
      <c r="E51" s="8">
        <f t="shared" si="91"/>
        <v>-15000</v>
      </c>
      <c r="F51" s="8">
        <f t="shared" si="91"/>
        <v>0</v>
      </c>
      <c r="G51" s="8">
        <f t="shared" si="91"/>
        <v>0</v>
      </c>
      <c r="H51" s="8">
        <f t="shared" si="91"/>
        <v>0</v>
      </c>
      <c r="I51" s="8">
        <f t="shared" si="91"/>
        <v>0</v>
      </c>
      <c r="J51" s="8">
        <f t="shared" si="91"/>
        <v>0</v>
      </c>
      <c r="K51" s="8">
        <f t="shared" si="91"/>
        <v>0</v>
      </c>
      <c r="L51" s="8">
        <f t="shared" si="91"/>
        <v>0</v>
      </c>
      <c r="M51" s="8">
        <f t="shared" si="91"/>
        <v>0</v>
      </c>
      <c r="N51" s="8">
        <f t="shared" si="91"/>
        <v>0</v>
      </c>
      <c r="O51" s="9">
        <f>SUM(C51:N51)</f>
        <v>-15000</v>
      </c>
    </row>
    <row r="52" spans="1:15" ht="15.75" thickBot="1">
      <c r="A52" s="20" t="s">
        <v>2</v>
      </c>
      <c r="B52" s="21" t="s">
        <v>3</v>
      </c>
      <c r="C52" s="21" t="s">
        <v>4</v>
      </c>
      <c r="D52" s="21" t="s">
        <v>5</v>
      </c>
      <c r="E52" s="21" t="s">
        <v>6</v>
      </c>
      <c r="F52" s="21" t="s">
        <v>7</v>
      </c>
      <c r="G52" s="21" t="s">
        <v>8</v>
      </c>
      <c r="H52" s="21" t="s">
        <v>9</v>
      </c>
      <c r="I52" s="21" t="s">
        <v>10</v>
      </c>
      <c r="J52" s="21" t="s">
        <v>11</v>
      </c>
      <c r="K52" s="21" t="s">
        <v>12</v>
      </c>
      <c r="L52" s="21" t="s">
        <v>13</v>
      </c>
      <c r="M52" s="21" t="s">
        <v>14</v>
      </c>
      <c r="N52" s="21" t="s">
        <v>15</v>
      </c>
      <c r="O52" s="23" t="s">
        <v>232</v>
      </c>
    </row>
    <row r="53" spans="1:15" ht="15.75" thickBot="1">
      <c r="A53" s="350" t="s">
        <v>16</v>
      </c>
      <c r="B53" s="351"/>
      <c r="C53" s="351"/>
      <c r="D53" s="351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24"/>
    </row>
    <row r="54" spans="1:15" ht="23.25" customHeight="1">
      <c r="A54" s="344" t="s">
        <v>237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6"/>
    </row>
    <row r="55" spans="1:15" ht="15.75" thickBot="1">
      <c r="A55" s="347" t="s">
        <v>18</v>
      </c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9"/>
    </row>
    <row r="56" spans="1:15">
      <c r="A56" s="25" t="s">
        <v>19</v>
      </c>
      <c r="B56" s="26">
        <f>SUM(B57)</f>
        <v>200000</v>
      </c>
      <c r="C56" s="26">
        <f t="shared" ref="C56" si="92">SUM(C57)</f>
        <v>0</v>
      </c>
      <c r="D56" s="26">
        <f t="shared" ref="D56" si="93">SUM(D57)</f>
        <v>0</v>
      </c>
      <c r="E56" s="26">
        <f t="shared" ref="E56" si="94">SUM(E57)</f>
        <v>0</v>
      </c>
      <c r="F56" s="26">
        <f t="shared" ref="F56" si="95">SUM(F57)</f>
        <v>0</v>
      </c>
      <c r="G56" s="26">
        <f t="shared" ref="G56" si="96">SUM(G57)</f>
        <v>0</v>
      </c>
      <c r="H56" s="26">
        <f t="shared" ref="H56" si="97">SUM(H57)</f>
        <v>0</v>
      </c>
      <c r="I56" s="26">
        <f t="shared" ref="I56" si="98">SUM(I57)</f>
        <v>0</v>
      </c>
      <c r="J56" s="26">
        <f t="shared" ref="J56" si="99">SUM(J57)</f>
        <v>0</v>
      </c>
      <c r="K56" s="26">
        <f t="shared" ref="K56" si="100">SUM(K57)</f>
        <v>0</v>
      </c>
      <c r="L56" s="26">
        <f t="shared" ref="L56" si="101">SUM(L57)</f>
        <v>0</v>
      </c>
      <c r="M56" s="26">
        <f t="shared" ref="M56" si="102">SUM(M57)</f>
        <v>200000</v>
      </c>
      <c r="N56" s="26">
        <f t="shared" ref="N56" si="103">SUM(N57)</f>
        <v>0</v>
      </c>
      <c r="O56" s="22">
        <f>SUM(C56:N56)</f>
        <v>200000</v>
      </c>
    </row>
    <row r="57" spans="1:15">
      <c r="A57" s="27"/>
      <c r="B57" s="14">
        <v>200000</v>
      </c>
      <c r="C57" s="14"/>
      <c r="D57" s="14"/>
      <c r="E57" s="17"/>
      <c r="F57" s="17"/>
      <c r="G57" s="14"/>
      <c r="H57" s="18"/>
      <c r="I57" s="14"/>
      <c r="J57" s="18"/>
      <c r="K57" s="14"/>
      <c r="L57" s="14"/>
      <c r="M57" s="14">
        <v>200000</v>
      </c>
      <c r="N57" s="19"/>
      <c r="O57" s="16">
        <f>SUM(C57:N57)</f>
        <v>200000</v>
      </c>
    </row>
    <row r="58" spans="1:15">
      <c r="A58" s="10" t="s">
        <v>20</v>
      </c>
      <c r="B58" s="11">
        <f>SUM(B59)</f>
        <v>850954</v>
      </c>
      <c r="C58" s="11">
        <f t="shared" ref="C58" si="104">SUM(C59)</f>
        <v>0</v>
      </c>
      <c r="D58" s="11">
        <f t="shared" ref="D58" si="105">SUM(D59)</f>
        <v>0</v>
      </c>
      <c r="E58" s="11">
        <f t="shared" ref="E58" si="106">SUM(E59)</f>
        <v>0</v>
      </c>
      <c r="F58" s="11">
        <f t="shared" ref="F58" si="107">SUM(F59)</f>
        <v>0</v>
      </c>
      <c r="G58" s="11">
        <f t="shared" ref="G58" si="108">SUM(G59)</f>
        <v>0</v>
      </c>
      <c r="H58" s="11">
        <f t="shared" ref="H58" si="109">SUM(H59)</f>
        <v>0</v>
      </c>
      <c r="I58" s="11">
        <f t="shared" ref="I58" si="110">SUM(I59)</f>
        <v>0</v>
      </c>
      <c r="J58" s="11">
        <f t="shared" ref="J58" si="111">SUM(J59)</f>
        <v>0</v>
      </c>
      <c r="K58" s="11">
        <f t="shared" ref="K58" si="112">SUM(K59)</f>
        <v>0</v>
      </c>
      <c r="L58" s="11">
        <f t="shared" ref="L58" si="113">SUM(L59)</f>
        <v>0</v>
      </c>
      <c r="M58" s="11">
        <f t="shared" ref="M58" si="114">SUM(M59)</f>
        <v>850954</v>
      </c>
      <c r="N58" s="11">
        <f t="shared" ref="N58" si="115">SUM(N59)</f>
        <v>0</v>
      </c>
      <c r="O58" s="12">
        <f>SUM(C58:N58)</f>
        <v>850954</v>
      </c>
    </row>
    <row r="59" spans="1:15">
      <c r="A59" s="13" t="s">
        <v>21</v>
      </c>
      <c r="B59" s="14">
        <v>850954</v>
      </c>
      <c r="C59" s="14"/>
      <c r="D59" s="14"/>
      <c r="E59" s="17"/>
      <c r="F59" s="17"/>
      <c r="G59" s="14"/>
      <c r="H59" s="18"/>
      <c r="I59" s="14"/>
      <c r="J59" s="18"/>
      <c r="K59" s="14"/>
      <c r="L59" s="14"/>
      <c r="M59" s="14">
        <v>850954</v>
      </c>
      <c r="N59" s="15"/>
      <c r="O59" s="16">
        <f>SUM(C59:N59)</f>
        <v>850954</v>
      </c>
    </row>
    <row r="60" spans="1:15" ht="15.75" thickBot="1">
      <c r="A60" s="7" t="s">
        <v>22</v>
      </c>
      <c r="B60" s="8">
        <f>SUM(B56-B58)</f>
        <v>-650954</v>
      </c>
      <c r="C60" s="8">
        <f t="shared" ref="C60:N60" si="116">SUM(C56-C58)</f>
        <v>0</v>
      </c>
      <c r="D60" s="8">
        <f t="shared" si="116"/>
        <v>0</v>
      </c>
      <c r="E60" s="8">
        <f t="shared" si="116"/>
        <v>0</v>
      </c>
      <c r="F60" s="8">
        <f t="shared" si="116"/>
        <v>0</v>
      </c>
      <c r="G60" s="8">
        <f t="shared" si="116"/>
        <v>0</v>
      </c>
      <c r="H60" s="8">
        <f t="shared" si="116"/>
        <v>0</v>
      </c>
      <c r="I60" s="8">
        <f t="shared" si="116"/>
        <v>0</v>
      </c>
      <c r="J60" s="8">
        <f t="shared" si="116"/>
        <v>0</v>
      </c>
      <c r="K60" s="8">
        <f t="shared" si="116"/>
        <v>0</v>
      </c>
      <c r="L60" s="8">
        <f t="shared" si="116"/>
        <v>0</v>
      </c>
      <c r="M60" s="8">
        <f t="shared" si="116"/>
        <v>-650954</v>
      </c>
      <c r="N60" s="8">
        <f t="shared" si="116"/>
        <v>0</v>
      </c>
      <c r="O60" s="9">
        <f>SUM(C60:N60)</f>
        <v>-650954</v>
      </c>
    </row>
    <row r="61" spans="1:15" ht="15.75" thickBot="1">
      <c r="A61" s="20" t="s">
        <v>2</v>
      </c>
      <c r="B61" s="21" t="s">
        <v>3</v>
      </c>
      <c r="C61" s="21" t="s">
        <v>4</v>
      </c>
      <c r="D61" s="21" t="s">
        <v>5</v>
      </c>
      <c r="E61" s="21" t="s">
        <v>6</v>
      </c>
      <c r="F61" s="21" t="s">
        <v>7</v>
      </c>
      <c r="G61" s="21" t="s">
        <v>8</v>
      </c>
      <c r="H61" s="21" t="s">
        <v>9</v>
      </c>
      <c r="I61" s="21" t="s">
        <v>10</v>
      </c>
      <c r="J61" s="21" t="s">
        <v>11</v>
      </c>
      <c r="K61" s="21" t="s">
        <v>12</v>
      </c>
      <c r="L61" s="21" t="s">
        <v>13</v>
      </c>
      <c r="M61" s="21" t="s">
        <v>14</v>
      </c>
      <c r="N61" s="21" t="s">
        <v>15</v>
      </c>
      <c r="O61" s="23" t="s">
        <v>232</v>
      </c>
    </row>
    <row r="62" spans="1:15" ht="15.75" thickBot="1">
      <c r="A62" s="350" t="s">
        <v>16</v>
      </c>
      <c r="B62" s="351"/>
      <c r="C62" s="351"/>
      <c r="D62" s="351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24"/>
    </row>
    <row r="63" spans="1:15" ht="24.75" customHeight="1">
      <c r="A63" s="344" t="s">
        <v>28</v>
      </c>
      <c r="B63" s="345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6"/>
    </row>
    <row r="64" spans="1:15" ht="15.75" thickBot="1">
      <c r="A64" s="347" t="s">
        <v>18</v>
      </c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9"/>
    </row>
    <row r="65" spans="1:15">
      <c r="A65" s="25" t="s">
        <v>19</v>
      </c>
      <c r="B65" s="26">
        <f>SUM(B66)</f>
        <v>158000</v>
      </c>
      <c r="C65" s="26">
        <f t="shared" ref="C65" si="117">SUM(C66)</f>
        <v>0</v>
      </c>
      <c r="D65" s="26">
        <f t="shared" ref="D65" si="118">SUM(D66)</f>
        <v>0</v>
      </c>
      <c r="E65" s="26">
        <f t="shared" ref="E65" si="119">SUM(E66)</f>
        <v>0</v>
      </c>
      <c r="F65" s="26">
        <f t="shared" ref="F65" si="120">SUM(F66)</f>
        <v>0</v>
      </c>
      <c r="G65" s="26">
        <f t="shared" ref="G65" si="121">SUM(G66)</f>
        <v>0</v>
      </c>
      <c r="H65" s="26">
        <f t="shared" ref="H65" si="122">SUM(H66)</f>
        <v>158000</v>
      </c>
      <c r="I65" s="26">
        <f t="shared" ref="I65" si="123">SUM(I66)</f>
        <v>0</v>
      </c>
      <c r="J65" s="26">
        <f t="shared" ref="J65" si="124">SUM(J66)</f>
        <v>0</v>
      </c>
      <c r="K65" s="26">
        <f t="shared" ref="K65" si="125">SUM(K66)</f>
        <v>0</v>
      </c>
      <c r="L65" s="26">
        <f t="shared" ref="L65" si="126">SUM(L66)</f>
        <v>0</v>
      </c>
      <c r="M65" s="26">
        <f t="shared" ref="M65" si="127">SUM(M66)</f>
        <v>0</v>
      </c>
      <c r="N65" s="26">
        <f t="shared" ref="N65" si="128">SUM(N66)</f>
        <v>0</v>
      </c>
      <c r="O65" s="22">
        <f>SUM(C65:N65)</f>
        <v>158000</v>
      </c>
    </row>
    <row r="66" spans="1:15">
      <c r="A66" s="27"/>
      <c r="B66" s="14">
        <v>158000</v>
      </c>
      <c r="C66" s="14"/>
      <c r="D66" s="14"/>
      <c r="E66" s="17"/>
      <c r="F66" s="17"/>
      <c r="G66" s="14"/>
      <c r="H66" s="179">
        <v>158000</v>
      </c>
      <c r="I66" s="14"/>
      <c r="J66" s="18"/>
      <c r="K66" s="14"/>
      <c r="L66" s="14"/>
      <c r="M66" s="14"/>
      <c r="N66" s="19"/>
      <c r="O66" s="16">
        <f>SUM(C66:N66)</f>
        <v>158000</v>
      </c>
    </row>
    <row r="67" spans="1:15">
      <c r="A67" s="10" t="s">
        <v>20</v>
      </c>
      <c r="B67" s="11">
        <f>SUM(B68)</f>
        <v>158000</v>
      </c>
      <c r="C67" s="11">
        <f t="shared" ref="C67" si="129">SUM(C68)</f>
        <v>0</v>
      </c>
      <c r="D67" s="11">
        <f t="shared" ref="D67" si="130">SUM(D68)</f>
        <v>0</v>
      </c>
      <c r="E67" s="11">
        <f t="shared" ref="E67" si="131">SUM(E68)</f>
        <v>0</v>
      </c>
      <c r="F67" s="11">
        <f t="shared" ref="F67" si="132">SUM(F68)</f>
        <v>0</v>
      </c>
      <c r="G67" s="11">
        <f t="shared" ref="G67" si="133">SUM(G68)</f>
        <v>0</v>
      </c>
      <c r="H67" s="270">
        <f t="shared" ref="H67" si="134">SUM(H68)</f>
        <v>158000</v>
      </c>
      <c r="I67" s="11">
        <f t="shared" ref="I67" si="135">SUM(I68)</f>
        <v>0</v>
      </c>
      <c r="J67" s="11">
        <f t="shared" ref="J67" si="136">SUM(J68)</f>
        <v>0</v>
      </c>
      <c r="K67" s="11">
        <f t="shared" ref="K67" si="137">SUM(K68)</f>
        <v>0</v>
      </c>
      <c r="L67" s="11">
        <f t="shared" ref="L67" si="138">SUM(L68)</f>
        <v>0</v>
      </c>
      <c r="M67" s="11">
        <f t="shared" ref="M67" si="139">SUM(M68)</f>
        <v>0</v>
      </c>
      <c r="N67" s="11">
        <f t="shared" ref="N67" si="140">SUM(N68)</f>
        <v>0</v>
      </c>
      <c r="O67" s="12">
        <f>SUM(C67:N67)</f>
        <v>158000</v>
      </c>
    </row>
    <row r="68" spans="1:15">
      <c r="A68" s="13" t="s">
        <v>21</v>
      </c>
      <c r="B68" s="14">
        <v>158000</v>
      </c>
      <c r="C68" s="14"/>
      <c r="D68" s="14"/>
      <c r="E68" s="17"/>
      <c r="F68" s="17"/>
      <c r="G68" s="14"/>
      <c r="H68" s="179">
        <v>158000</v>
      </c>
      <c r="I68" s="14"/>
      <c r="J68" s="18"/>
      <c r="K68" s="14"/>
      <c r="L68" s="14"/>
      <c r="M68" s="14"/>
      <c r="N68" s="15"/>
      <c r="O68" s="16">
        <f>SUM(C68:N68)</f>
        <v>158000</v>
      </c>
    </row>
    <row r="69" spans="1:15" ht="15.75" thickBot="1">
      <c r="A69" s="7" t="s">
        <v>22</v>
      </c>
      <c r="B69" s="8">
        <f>SUM(B65-B67)</f>
        <v>0</v>
      </c>
      <c r="C69" s="8">
        <f t="shared" ref="C69:N69" si="141">SUM(C65-C67)</f>
        <v>0</v>
      </c>
      <c r="D69" s="8">
        <f t="shared" si="141"/>
        <v>0</v>
      </c>
      <c r="E69" s="8">
        <f t="shared" si="141"/>
        <v>0</v>
      </c>
      <c r="F69" s="8">
        <f t="shared" si="141"/>
        <v>0</v>
      </c>
      <c r="G69" s="8">
        <f t="shared" si="141"/>
        <v>0</v>
      </c>
      <c r="H69" s="8">
        <f t="shared" si="141"/>
        <v>0</v>
      </c>
      <c r="I69" s="8">
        <f t="shared" si="141"/>
        <v>0</v>
      </c>
      <c r="J69" s="8">
        <f t="shared" si="141"/>
        <v>0</v>
      </c>
      <c r="K69" s="8">
        <f t="shared" si="141"/>
        <v>0</v>
      </c>
      <c r="L69" s="8">
        <f t="shared" si="141"/>
        <v>0</v>
      </c>
      <c r="M69" s="8">
        <f t="shared" si="141"/>
        <v>0</v>
      </c>
      <c r="N69" s="8">
        <f t="shared" si="141"/>
        <v>0</v>
      </c>
      <c r="O69" s="9">
        <f>SUM(C69:N69)</f>
        <v>0</v>
      </c>
    </row>
    <row r="70" spans="1:15" ht="15.75" thickBot="1">
      <c r="A70" s="20" t="s">
        <v>2</v>
      </c>
      <c r="B70" s="21" t="s">
        <v>3</v>
      </c>
      <c r="C70" s="21" t="s">
        <v>4</v>
      </c>
      <c r="D70" s="21" t="s">
        <v>5</v>
      </c>
      <c r="E70" s="21" t="s">
        <v>6</v>
      </c>
      <c r="F70" s="21" t="s">
        <v>7</v>
      </c>
      <c r="G70" s="21" t="s">
        <v>8</v>
      </c>
      <c r="H70" s="21" t="s">
        <v>9</v>
      </c>
      <c r="I70" s="21" t="s">
        <v>10</v>
      </c>
      <c r="J70" s="21" t="s">
        <v>11</v>
      </c>
      <c r="K70" s="21" t="s">
        <v>12</v>
      </c>
      <c r="L70" s="21" t="s">
        <v>13</v>
      </c>
      <c r="M70" s="21" t="s">
        <v>14</v>
      </c>
      <c r="N70" s="21" t="s">
        <v>15</v>
      </c>
      <c r="O70" s="23" t="s">
        <v>232</v>
      </c>
    </row>
    <row r="71" spans="1:15" ht="15.75" thickBot="1">
      <c r="A71" s="350" t="s">
        <v>16</v>
      </c>
      <c r="B71" s="351"/>
      <c r="C71" s="351"/>
      <c r="D71" s="351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24"/>
    </row>
    <row r="72" spans="1:15">
      <c r="A72" s="344" t="s">
        <v>238</v>
      </c>
      <c r="B72" s="345"/>
      <c r="C72" s="345"/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6"/>
    </row>
    <row r="73" spans="1:15" ht="15.75" thickBot="1">
      <c r="A73" s="347" t="s">
        <v>23</v>
      </c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9"/>
    </row>
    <row r="74" spans="1:15">
      <c r="A74" s="25" t="s">
        <v>19</v>
      </c>
      <c r="B74" s="26">
        <f>SUM(B75)</f>
        <v>0</v>
      </c>
      <c r="C74" s="26">
        <f t="shared" ref="C74" si="142">SUM(C75)</f>
        <v>0</v>
      </c>
      <c r="D74" s="26">
        <f t="shared" ref="D74" si="143">SUM(D75)</f>
        <v>0</v>
      </c>
      <c r="E74" s="26">
        <f t="shared" ref="E74" si="144">SUM(E75)</f>
        <v>0</v>
      </c>
      <c r="F74" s="26">
        <f t="shared" ref="F74" si="145">SUM(F75)</f>
        <v>0</v>
      </c>
      <c r="G74" s="26">
        <f t="shared" ref="G74" si="146">SUM(G75)</f>
        <v>0</v>
      </c>
      <c r="H74" s="26">
        <f t="shared" ref="H74" si="147">SUM(H75)</f>
        <v>0</v>
      </c>
      <c r="I74" s="26">
        <f t="shared" ref="I74" si="148">SUM(I75)</f>
        <v>0</v>
      </c>
      <c r="J74" s="26">
        <f t="shared" ref="J74" si="149">SUM(J75)</f>
        <v>0</v>
      </c>
      <c r="K74" s="26">
        <f t="shared" ref="K74" si="150">SUM(K75)</f>
        <v>0</v>
      </c>
      <c r="L74" s="26">
        <f t="shared" ref="L74" si="151">SUM(L75)</f>
        <v>0</v>
      </c>
      <c r="M74" s="26">
        <f t="shared" ref="M74" si="152">SUM(M75)</f>
        <v>0</v>
      </c>
      <c r="N74" s="26">
        <f t="shared" ref="N74" si="153">SUM(N75)</f>
        <v>0</v>
      </c>
      <c r="O74" s="22">
        <f>SUM(C74:N74)</f>
        <v>0</v>
      </c>
    </row>
    <row r="75" spans="1:15">
      <c r="A75" s="27"/>
      <c r="B75" s="14"/>
      <c r="C75" s="14"/>
      <c r="D75" s="14"/>
      <c r="E75" s="17"/>
      <c r="F75" s="17"/>
      <c r="G75" s="14"/>
      <c r="H75" s="18"/>
      <c r="I75" s="14"/>
      <c r="J75" s="18"/>
      <c r="K75" s="14"/>
      <c r="L75" s="14"/>
      <c r="M75" s="14"/>
      <c r="N75" s="19"/>
      <c r="O75" s="16">
        <f>SUM(C75:N75)</f>
        <v>0</v>
      </c>
    </row>
    <row r="76" spans="1:15">
      <c r="A76" s="10" t="s">
        <v>20</v>
      </c>
      <c r="B76" s="11">
        <f>SUM(B77)</f>
        <v>30000</v>
      </c>
      <c r="C76" s="11">
        <f t="shared" ref="C76" si="154">SUM(C77)</f>
        <v>0</v>
      </c>
      <c r="D76" s="11">
        <f t="shared" ref="D76" si="155">SUM(D77)</f>
        <v>0</v>
      </c>
      <c r="E76" s="11">
        <f t="shared" ref="E76" si="156">SUM(E77)</f>
        <v>0</v>
      </c>
      <c r="F76" s="11">
        <f t="shared" ref="F76" si="157">SUM(F77)</f>
        <v>30000</v>
      </c>
      <c r="G76" s="11">
        <f t="shared" ref="G76" si="158">SUM(G77)</f>
        <v>0</v>
      </c>
      <c r="H76" s="11">
        <f t="shared" ref="H76" si="159">SUM(H77)</f>
        <v>0</v>
      </c>
      <c r="I76" s="11">
        <f t="shared" ref="I76" si="160">SUM(I77)</f>
        <v>0</v>
      </c>
      <c r="J76" s="11">
        <f t="shared" ref="J76" si="161">SUM(J77)</f>
        <v>0</v>
      </c>
      <c r="K76" s="11">
        <f t="shared" ref="K76" si="162">SUM(K77)</f>
        <v>0</v>
      </c>
      <c r="L76" s="11">
        <f t="shared" ref="L76" si="163">SUM(L77)</f>
        <v>0</v>
      </c>
      <c r="M76" s="11">
        <f t="shared" ref="M76" si="164">SUM(M77)</f>
        <v>0</v>
      </c>
      <c r="N76" s="11">
        <f t="shared" ref="N76" si="165">SUM(N77)</f>
        <v>0</v>
      </c>
      <c r="O76" s="12">
        <f>SUM(C76:N76)</f>
        <v>30000</v>
      </c>
    </row>
    <row r="77" spans="1:15">
      <c r="A77" s="13" t="s">
        <v>21</v>
      </c>
      <c r="B77" s="14">
        <v>30000</v>
      </c>
      <c r="C77" s="14"/>
      <c r="D77" s="14"/>
      <c r="E77" s="17"/>
      <c r="F77" s="17">
        <v>30000</v>
      </c>
      <c r="G77" s="14"/>
      <c r="H77" s="18"/>
      <c r="I77" s="14"/>
      <c r="J77" s="18"/>
      <c r="K77" s="14"/>
      <c r="L77" s="14"/>
      <c r="M77" s="14"/>
      <c r="N77" s="15"/>
      <c r="O77" s="16">
        <f>SUM(C77:N77)</f>
        <v>30000</v>
      </c>
    </row>
    <row r="78" spans="1:15" ht="15.75" thickBot="1">
      <c r="A78" s="7" t="s">
        <v>22</v>
      </c>
      <c r="B78" s="8">
        <f>SUM(B74-B76)</f>
        <v>-30000</v>
      </c>
      <c r="C78" s="8">
        <f t="shared" ref="C78:N78" si="166">SUM(C74-C76)</f>
        <v>0</v>
      </c>
      <c r="D78" s="8">
        <f t="shared" si="166"/>
        <v>0</v>
      </c>
      <c r="E78" s="8">
        <f t="shared" si="166"/>
        <v>0</v>
      </c>
      <c r="F78" s="8">
        <f t="shared" si="166"/>
        <v>-30000</v>
      </c>
      <c r="G78" s="8">
        <f t="shared" si="166"/>
        <v>0</v>
      </c>
      <c r="H78" s="8">
        <f t="shared" si="166"/>
        <v>0</v>
      </c>
      <c r="I78" s="8">
        <f t="shared" si="166"/>
        <v>0</v>
      </c>
      <c r="J78" s="8">
        <f t="shared" si="166"/>
        <v>0</v>
      </c>
      <c r="K78" s="8">
        <f t="shared" si="166"/>
        <v>0</v>
      </c>
      <c r="L78" s="8">
        <f t="shared" si="166"/>
        <v>0</v>
      </c>
      <c r="M78" s="8">
        <f t="shared" si="166"/>
        <v>0</v>
      </c>
      <c r="N78" s="8">
        <f t="shared" si="166"/>
        <v>0</v>
      </c>
      <c r="O78" s="9">
        <f>SUM(C78:N78)</f>
        <v>-30000</v>
      </c>
    </row>
    <row r="79" spans="1:15" ht="15.75" thickBot="1">
      <c r="A79" s="20" t="s">
        <v>2</v>
      </c>
      <c r="B79" s="21" t="s">
        <v>3</v>
      </c>
      <c r="C79" s="21" t="s">
        <v>4</v>
      </c>
      <c r="D79" s="21" t="s">
        <v>5</v>
      </c>
      <c r="E79" s="21" t="s">
        <v>6</v>
      </c>
      <c r="F79" s="21" t="s">
        <v>7</v>
      </c>
      <c r="G79" s="21" t="s">
        <v>8</v>
      </c>
      <c r="H79" s="21" t="s">
        <v>9</v>
      </c>
      <c r="I79" s="21" t="s">
        <v>10</v>
      </c>
      <c r="J79" s="21" t="s">
        <v>11</v>
      </c>
      <c r="K79" s="21" t="s">
        <v>12</v>
      </c>
      <c r="L79" s="21" t="s">
        <v>13</v>
      </c>
      <c r="M79" s="21" t="s">
        <v>14</v>
      </c>
      <c r="N79" s="21" t="s">
        <v>15</v>
      </c>
      <c r="O79" s="23" t="s">
        <v>232</v>
      </c>
    </row>
    <row r="80" spans="1:15" ht="15.75" thickBot="1">
      <c r="A80" s="350" t="s">
        <v>16</v>
      </c>
      <c r="B80" s="351"/>
      <c r="C80" s="351"/>
      <c r="D80" s="351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24"/>
    </row>
    <row r="81" spans="1:15">
      <c r="A81" s="344" t="s">
        <v>239</v>
      </c>
      <c r="B81" s="345"/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6"/>
    </row>
    <row r="82" spans="1:15" ht="15.75" thickBot="1">
      <c r="A82" s="347" t="s">
        <v>240</v>
      </c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9"/>
    </row>
    <row r="83" spans="1:15">
      <c r="A83" s="25" t="s">
        <v>19</v>
      </c>
      <c r="B83" s="26">
        <f>SUM(B84)</f>
        <v>4000</v>
      </c>
      <c r="C83" s="26">
        <f t="shared" ref="C83" si="167">SUM(C84)</f>
        <v>0</v>
      </c>
      <c r="D83" s="26">
        <f t="shared" ref="D83" si="168">SUM(D84)</f>
        <v>0</v>
      </c>
      <c r="E83" s="26">
        <f t="shared" ref="E83" si="169">SUM(E84)</f>
        <v>0</v>
      </c>
      <c r="F83" s="26">
        <f t="shared" ref="F83" si="170">SUM(F84)</f>
        <v>0</v>
      </c>
      <c r="G83" s="26">
        <f t="shared" ref="G83" si="171">SUM(G84)</f>
        <v>0</v>
      </c>
      <c r="H83" s="26">
        <f t="shared" ref="H83" si="172">SUM(H84)</f>
        <v>0</v>
      </c>
      <c r="I83" s="26">
        <f t="shared" ref="I83" si="173">SUM(I84)</f>
        <v>0</v>
      </c>
      <c r="J83" s="26">
        <f t="shared" ref="J83" si="174">SUM(J84)</f>
        <v>4000</v>
      </c>
      <c r="K83" s="26">
        <f t="shared" ref="K83" si="175">SUM(K84)</f>
        <v>0</v>
      </c>
      <c r="L83" s="26">
        <f t="shared" ref="L83" si="176">SUM(L84)</f>
        <v>0</v>
      </c>
      <c r="M83" s="26">
        <f t="shared" ref="M83" si="177">SUM(M84)</f>
        <v>0</v>
      </c>
      <c r="N83" s="26">
        <f t="shared" ref="N83" si="178">SUM(N84)</f>
        <v>0</v>
      </c>
      <c r="O83" s="22">
        <f>SUM(C83:N83)</f>
        <v>4000</v>
      </c>
    </row>
    <row r="84" spans="1:15">
      <c r="A84" s="27"/>
      <c r="B84" s="14">
        <v>4000</v>
      </c>
      <c r="C84" s="14"/>
      <c r="D84" s="14"/>
      <c r="E84" s="17"/>
      <c r="F84" s="17"/>
      <c r="G84" s="14"/>
      <c r="H84" s="18"/>
      <c r="I84" s="14"/>
      <c r="J84" s="179">
        <v>4000</v>
      </c>
      <c r="K84" s="14"/>
      <c r="L84" s="14"/>
      <c r="M84" s="14"/>
      <c r="N84" s="19"/>
      <c r="O84" s="16">
        <f>SUM(C84:N84)</f>
        <v>4000</v>
      </c>
    </row>
    <row r="85" spans="1:15">
      <c r="A85" s="10" t="s">
        <v>20</v>
      </c>
      <c r="B85" s="11">
        <f>SUM(B86)</f>
        <v>4000</v>
      </c>
      <c r="C85" s="11">
        <f t="shared" ref="C85" si="179">SUM(C86)</f>
        <v>0</v>
      </c>
      <c r="D85" s="11">
        <f t="shared" ref="D85" si="180">SUM(D86)</f>
        <v>0</v>
      </c>
      <c r="E85" s="11">
        <f t="shared" ref="E85" si="181">SUM(E86)</f>
        <v>0</v>
      </c>
      <c r="F85" s="11">
        <f t="shared" ref="F85" si="182">SUM(F86)</f>
        <v>0</v>
      </c>
      <c r="G85" s="11">
        <f t="shared" ref="G85" si="183">SUM(G86)</f>
        <v>0</v>
      </c>
      <c r="H85" s="11">
        <f t="shared" ref="H85" si="184">SUM(H86)</f>
        <v>0</v>
      </c>
      <c r="I85" s="11">
        <f t="shared" ref="I85" si="185">SUM(I86)</f>
        <v>0</v>
      </c>
      <c r="J85" s="270">
        <f t="shared" ref="J85" si="186">SUM(J86)</f>
        <v>4000</v>
      </c>
      <c r="K85" s="11">
        <f t="shared" ref="K85" si="187">SUM(K86)</f>
        <v>0</v>
      </c>
      <c r="L85" s="11">
        <f t="shared" ref="L85" si="188">SUM(L86)</f>
        <v>0</v>
      </c>
      <c r="M85" s="11">
        <f t="shared" ref="M85" si="189">SUM(M86)</f>
        <v>0</v>
      </c>
      <c r="N85" s="11">
        <f t="shared" ref="N85" si="190">SUM(N86)</f>
        <v>0</v>
      </c>
      <c r="O85" s="12">
        <f>SUM(C85:N85)</f>
        <v>4000</v>
      </c>
    </row>
    <row r="86" spans="1:15">
      <c r="A86" s="13" t="s">
        <v>21</v>
      </c>
      <c r="B86" s="14">
        <v>4000</v>
      </c>
      <c r="C86" s="14"/>
      <c r="D86" s="14"/>
      <c r="E86" s="17"/>
      <c r="F86" s="17"/>
      <c r="G86" s="14"/>
      <c r="H86" s="18"/>
      <c r="I86" s="14"/>
      <c r="J86" s="179">
        <v>4000</v>
      </c>
      <c r="K86" s="14"/>
      <c r="L86" s="14"/>
      <c r="M86" s="14"/>
      <c r="N86" s="15"/>
      <c r="O86" s="16">
        <f>SUM(C86:N86)</f>
        <v>4000</v>
      </c>
    </row>
    <row r="87" spans="1:15" ht="15.75" thickBot="1">
      <c r="A87" s="7" t="s">
        <v>22</v>
      </c>
      <c r="B87" s="8">
        <f>SUM(B83-B85)</f>
        <v>0</v>
      </c>
      <c r="C87" s="8">
        <f t="shared" ref="C87:N87" si="191">SUM(C83-C85)</f>
        <v>0</v>
      </c>
      <c r="D87" s="8">
        <f t="shared" si="191"/>
        <v>0</v>
      </c>
      <c r="E87" s="8">
        <f t="shared" si="191"/>
        <v>0</v>
      </c>
      <c r="F87" s="8">
        <f t="shared" si="191"/>
        <v>0</v>
      </c>
      <c r="G87" s="8">
        <f t="shared" si="191"/>
        <v>0</v>
      </c>
      <c r="H87" s="8">
        <f t="shared" si="191"/>
        <v>0</v>
      </c>
      <c r="I87" s="8">
        <f t="shared" si="191"/>
        <v>0</v>
      </c>
      <c r="J87" s="8">
        <f t="shared" si="191"/>
        <v>0</v>
      </c>
      <c r="K87" s="8">
        <f t="shared" si="191"/>
        <v>0</v>
      </c>
      <c r="L87" s="8">
        <f t="shared" si="191"/>
        <v>0</v>
      </c>
      <c r="M87" s="8">
        <f t="shared" si="191"/>
        <v>0</v>
      </c>
      <c r="N87" s="8">
        <f t="shared" si="191"/>
        <v>0</v>
      </c>
      <c r="O87" s="9">
        <f>SUM(C87:N87)</f>
        <v>0</v>
      </c>
    </row>
    <row r="88" spans="1:15" ht="15.75" thickBot="1">
      <c r="A88" s="20" t="s">
        <v>2</v>
      </c>
      <c r="B88" s="21" t="s">
        <v>3</v>
      </c>
      <c r="C88" s="21" t="s">
        <v>4</v>
      </c>
      <c r="D88" s="21" t="s">
        <v>5</v>
      </c>
      <c r="E88" s="21" t="s">
        <v>6</v>
      </c>
      <c r="F88" s="21" t="s">
        <v>7</v>
      </c>
      <c r="G88" s="21" t="s">
        <v>8</v>
      </c>
      <c r="H88" s="21" t="s">
        <v>9</v>
      </c>
      <c r="I88" s="21" t="s">
        <v>10</v>
      </c>
      <c r="J88" s="21" t="s">
        <v>11</v>
      </c>
      <c r="K88" s="21" t="s">
        <v>12</v>
      </c>
      <c r="L88" s="21" t="s">
        <v>13</v>
      </c>
      <c r="M88" s="21" t="s">
        <v>14</v>
      </c>
      <c r="N88" s="21" t="s">
        <v>15</v>
      </c>
      <c r="O88" s="23" t="s">
        <v>232</v>
      </c>
    </row>
    <row r="89" spans="1:15" ht="15.75" thickBot="1">
      <c r="A89" s="350" t="s">
        <v>16</v>
      </c>
      <c r="B89" s="351"/>
      <c r="C89" s="351"/>
      <c r="D89" s="351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24"/>
    </row>
    <row r="90" spans="1:15">
      <c r="A90" s="344" t="s">
        <v>241</v>
      </c>
      <c r="B90" s="345"/>
      <c r="C90" s="345"/>
      <c r="D90" s="345"/>
      <c r="E90" s="345"/>
      <c r="F90" s="345"/>
      <c r="G90" s="345"/>
      <c r="H90" s="345"/>
      <c r="I90" s="345"/>
      <c r="J90" s="345"/>
      <c r="K90" s="345"/>
      <c r="L90" s="345"/>
      <c r="M90" s="345"/>
      <c r="N90" s="345"/>
      <c r="O90" s="346"/>
    </row>
    <row r="91" spans="1:15" ht="15.75" thickBot="1">
      <c r="A91" s="347" t="s">
        <v>18</v>
      </c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9"/>
    </row>
    <row r="92" spans="1:15">
      <c r="A92" s="25" t="s">
        <v>19</v>
      </c>
      <c r="B92" s="26">
        <f>SUM(B93)</f>
        <v>0</v>
      </c>
      <c r="C92" s="26">
        <f t="shared" ref="C92" si="192">SUM(C93)</f>
        <v>0</v>
      </c>
      <c r="D92" s="26">
        <f t="shared" ref="D92" si="193">SUM(D93)</f>
        <v>0</v>
      </c>
      <c r="E92" s="26">
        <f t="shared" ref="E92" si="194">SUM(E93)</f>
        <v>0</v>
      </c>
      <c r="F92" s="26">
        <f t="shared" ref="F92" si="195">SUM(F93)</f>
        <v>0</v>
      </c>
      <c r="G92" s="26">
        <f t="shared" ref="G92" si="196">SUM(G93)</f>
        <v>0</v>
      </c>
      <c r="H92" s="26">
        <f t="shared" ref="H92" si="197">SUM(H93)</f>
        <v>0</v>
      </c>
      <c r="I92" s="26">
        <f t="shared" ref="I92" si="198">SUM(I93)</f>
        <v>0</v>
      </c>
      <c r="J92" s="26">
        <f t="shared" ref="J92" si="199">SUM(J93)</f>
        <v>0</v>
      </c>
      <c r="K92" s="26">
        <f t="shared" ref="K92" si="200">SUM(K93)</f>
        <v>0</v>
      </c>
      <c r="L92" s="26">
        <f t="shared" ref="L92" si="201">SUM(L93)</f>
        <v>0</v>
      </c>
      <c r="M92" s="26">
        <f t="shared" ref="M92" si="202">SUM(M93)</f>
        <v>0</v>
      </c>
      <c r="N92" s="26">
        <f t="shared" ref="N92" si="203">SUM(N93)</f>
        <v>0</v>
      </c>
      <c r="O92" s="22">
        <f>SUM(C92:N92)</f>
        <v>0</v>
      </c>
    </row>
    <row r="93" spans="1:15">
      <c r="A93" s="27"/>
      <c r="B93" s="14"/>
      <c r="C93" s="14"/>
      <c r="D93" s="14"/>
      <c r="E93" s="17"/>
      <c r="F93" s="17"/>
      <c r="G93" s="14"/>
      <c r="H93" s="18"/>
      <c r="I93" s="14"/>
      <c r="J93" s="18"/>
      <c r="K93" s="14"/>
      <c r="L93" s="14"/>
      <c r="M93" s="14"/>
      <c r="N93" s="19"/>
      <c r="O93" s="16">
        <f>SUM(C93:N93)</f>
        <v>0</v>
      </c>
    </row>
    <row r="94" spans="1:15">
      <c r="A94" s="10" t="s">
        <v>20</v>
      </c>
      <c r="B94" s="11">
        <f>SUM(B95)</f>
        <v>20000</v>
      </c>
      <c r="C94" s="11">
        <f t="shared" ref="C94" si="204">SUM(C95)</f>
        <v>0</v>
      </c>
      <c r="D94" s="11">
        <f t="shared" ref="D94" si="205">SUM(D95)</f>
        <v>0</v>
      </c>
      <c r="E94" s="11">
        <f t="shared" ref="E94" si="206">SUM(E95)</f>
        <v>0</v>
      </c>
      <c r="F94" s="11">
        <f t="shared" ref="F94" si="207">SUM(F95)</f>
        <v>0</v>
      </c>
      <c r="G94" s="11">
        <f t="shared" ref="G94" si="208">SUM(G95)</f>
        <v>0</v>
      </c>
      <c r="H94" s="11">
        <f t="shared" ref="H94" si="209">SUM(H95)</f>
        <v>0</v>
      </c>
      <c r="I94" s="11">
        <f t="shared" ref="I94" si="210">SUM(I95)</f>
        <v>0</v>
      </c>
      <c r="J94" s="11">
        <f t="shared" ref="J94" si="211">SUM(J95)</f>
        <v>0</v>
      </c>
      <c r="K94" s="11">
        <f t="shared" ref="K94" si="212">SUM(K95)</f>
        <v>0</v>
      </c>
      <c r="L94" s="11">
        <f t="shared" ref="L94" si="213">SUM(L95)</f>
        <v>20000</v>
      </c>
      <c r="M94" s="11">
        <f t="shared" ref="M94" si="214">SUM(M95)</f>
        <v>0</v>
      </c>
      <c r="N94" s="11">
        <f t="shared" ref="N94" si="215">SUM(N95)</f>
        <v>0</v>
      </c>
      <c r="O94" s="12">
        <f>SUM(C94:N94)</f>
        <v>20000</v>
      </c>
    </row>
    <row r="95" spans="1:15">
      <c r="A95" s="13" t="s">
        <v>21</v>
      </c>
      <c r="B95" s="14">
        <v>20000</v>
      </c>
      <c r="C95" s="14"/>
      <c r="D95" s="14"/>
      <c r="E95" s="17"/>
      <c r="F95" s="17"/>
      <c r="G95" s="14"/>
      <c r="H95" s="18"/>
      <c r="I95" s="14"/>
      <c r="J95" s="18"/>
      <c r="K95" s="14"/>
      <c r="L95" s="14">
        <v>20000</v>
      </c>
      <c r="M95" s="14"/>
      <c r="N95" s="15"/>
      <c r="O95" s="16">
        <f>SUM(C95:N95)</f>
        <v>20000</v>
      </c>
    </row>
    <row r="96" spans="1:15" ht="15.75" thickBot="1">
      <c r="A96" s="7" t="s">
        <v>22</v>
      </c>
      <c r="B96" s="8">
        <f>SUM(B92-B94)</f>
        <v>-20000</v>
      </c>
      <c r="C96" s="8">
        <f t="shared" ref="C96:N96" si="216">SUM(C92-C94)</f>
        <v>0</v>
      </c>
      <c r="D96" s="8">
        <f t="shared" si="216"/>
        <v>0</v>
      </c>
      <c r="E96" s="8">
        <f t="shared" si="216"/>
        <v>0</v>
      </c>
      <c r="F96" s="8">
        <f t="shared" si="216"/>
        <v>0</v>
      </c>
      <c r="G96" s="8">
        <f t="shared" si="216"/>
        <v>0</v>
      </c>
      <c r="H96" s="8">
        <f t="shared" si="216"/>
        <v>0</v>
      </c>
      <c r="I96" s="8">
        <f t="shared" si="216"/>
        <v>0</v>
      </c>
      <c r="J96" s="8">
        <f t="shared" si="216"/>
        <v>0</v>
      </c>
      <c r="K96" s="8">
        <f t="shared" si="216"/>
        <v>0</v>
      </c>
      <c r="L96" s="8">
        <f t="shared" si="216"/>
        <v>-20000</v>
      </c>
      <c r="M96" s="8">
        <f t="shared" si="216"/>
        <v>0</v>
      </c>
      <c r="N96" s="8">
        <f t="shared" si="216"/>
        <v>0</v>
      </c>
      <c r="O96" s="9">
        <f>SUM(C96:N96)</f>
        <v>-20000</v>
      </c>
    </row>
    <row r="97" spans="1:15" ht="15.75" thickBot="1">
      <c r="A97" s="20" t="s">
        <v>2</v>
      </c>
      <c r="B97" s="21" t="s">
        <v>3</v>
      </c>
      <c r="C97" s="21" t="s">
        <v>4</v>
      </c>
      <c r="D97" s="21" t="s">
        <v>5</v>
      </c>
      <c r="E97" s="21" t="s">
        <v>6</v>
      </c>
      <c r="F97" s="21" t="s">
        <v>7</v>
      </c>
      <c r="G97" s="21" t="s">
        <v>8</v>
      </c>
      <c r="H97" s="21" t="s">
        <v>9</v>
      </c>
      <c r="I97" s="21" t="s">
        <v>10</v>
      </c>
      <c r="J97" s="21" t="s">
        <v>11</v>
      </c>
      <c r="K97" s="21" t="s">
        <v>12</v>
      </c>
      <c r="L97" s="21" t="s">
        <v>13</v>
      </c>
      <c r="M97" s="21" t="s">
        <v>14</v>
      </c>
      <c r="N97" s="21" t="s">
        <v>15</v>
      </c>
      <c r="O97" s="23" t="s">
        <v>232</v>
      </c>
    </row>
    <row r="98" spans="1:15" ht="15.75" thickBot="1">
      <c r="A98" s="350" t="s">
        <v>16</v>
      </c>
      <c r="B98" s="351"/>
      <c r="C98" s="351"/>
      <c r="D98" s="351"/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24"/>
    </row>
    <row r="99" spans="1:15">
      <c r="A99" s="344" t="s">
        <v>242</v>
      </c>
      <c r="B99" s="345"/>
      <c r="C99" s="345"/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6"/>
    </row>
    <row r="100" spans="1:15" ht="15.75" thickBot="1">
      <c r="A100" s="347" t="s">
        <v>18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9"/>
    </row>
    <row r="101" spans="1:15">
      <c r="A101" s="25" t="s">
        <v>19</v>
      </c>
      <c r="B101" s="26">
        <f>SUM(B102)</f>
        <v>0</v>
      </c>
      <c r="C101" s="26">
        <f t="shared" ref="C101" si="217">SUM(C102)</f>
        <v>0</v>
      </c>
      <c r="D101" s="26">
        <f t="shared" ref="D101" si="218">SUM(D102)</f>
        <v>0</v>
      </c>
      <c r="E101" s="26">
        <f t="shared" ref="E101" si="219">SUM(E102)</f>
        <v>0</v>
      </c>
      <c r="F101" s="26">
        <f t="shared" ref="F101" si="220">SUM(F102)</f>
        <v>0</v>
      </c>
      <c r="G101" s="26">
        <f t="shared" ref="G101" si="221">SUM(G102)</f>
        <v>0</v>
      </c>
      <c r="H101" s="26">
        <f t="shared" ref="H101" si="222">SUM(H102)</f>
        <v>0</v>
      </c>
      <c r="I101" s="26">
        <f t="shared" ref="I101" si="223">SUM(I102)</f>
        <v>0</v>
      </c>
      <c r="J101" s="26">
        <f t="shared" ref="J101" si="224">SUM(J102)</f>
        <v>0</v>
      </c>
      <c r="K101" s="26">
        <f t="shared" ref="K101" si="225">SUM(K102)</f>
        <v>0</v>
      </c>
      <c r="L101" s="26">
        <f t="shared" ref="L101" si="226">SUM(L102)</f>
        <v>0</v>
      </c>
      <c r="M101" s="26">
        <f t="shared" ref="M101" si="227">SUM(M102)</f>
        <v>0</v>
      </c>
      <c r="N101" s="26">
        <f t="shared" ref="N101" si="228">SUM(N102)</f>
        <v>0</v>
      </c>
      <c r="O101" s="22">
        <f>SUM(C101:N101)</f>
        <v>0</v>
      </c>
    </row>
    <row r="102" spans="1:15">
      <c r="A102" s="27"/>
      <c r="B102" s="14"/>
      <c r="C102" s="14"/>
      <c r="D102" s="14"/>
      <c r="E102" s="17"/>
      <c r="F102" s="17"/>
      <c r="G102" s="14"/>
      <c r="H102" s="18"/>
      <c r="I102" s="14"/>
      <c r="J102" s="18"/>
      <c r="K102" s="14"/>
      <c r="L102" s="14"/>
      <c r="M102" s="14"/>
      <c r="N102" s="19"/>
      <c r="O102" s="16">
        <f>SUM(C102:N102)</f>
        <v>0</v>
      </c>
    </row>
    <row r="103" spans="1:15">
      <c r="A103" s="10" t="s">
        <v>20</v>
      </c>
      <c r="B103" s="11">
        <f>SUM(B104)</f>
        <v>30000</v>
      </c>
      <c r="C103" s="11">
        <f t="shared" ref="C103" si="229">SUM(C104)</f>
        <v>0</v>
      </c>
      <c r="D103" s="11">
        <f t="shared" ref="D103" si="230">SUM(D104)</f>
        <v>0</v>
      </c>
      <c r="E103" s="11">
        <f t="shared" ref="E103" si="231">SUM(E104)</f>
        <v>0</v>
      </c>
      <c r="F103" s="11">
        <f t="shared" ref="F103" si="232">SUM(F104)</f>
        <v>0</v>
      </c>
      <c r="G103" s="11">
        <f t="shared" ref="G103" si="233">SUM(G104)</f>
        <v>0</v>
      </c>
      <c r="H103" s="11">
        <f t="shared" ref="H103" si="234">SUM(H104)</f>
        <v>30000</v>
      </c>
      <c r="I103" s="11">
        <f t="shared" ref="I103" si="235">SUM(I104)</f>
        <v>0</v>
      </c>
      <c r="J103" s="11">
        <f t="shared" ref="J103" si="236">SUM(J104)</f>
        <v>0</v>
      </c>
      <c r="K103" s="11">
        <f t="shared" ref="K103" si="237">SUM(K104)</f>
        <v>0</v>
      </c>
      <c r="L103" s="11">
        <f t="shared" ref="L103" si="238">SUM(L104)</f>
        <v>0</v>
      </c>
      <c r="M103" s="11">
        <f t="shared" ref="M103" si="239">SUM(M104)</f>
        <v>0</v>
      </c>
      <c r="N103" s="11">
        <f t="shared" ref="N103" si="240">SUM(N104)</f>
        <v>0</v>
      </c>
      <c r="O103" s="12">
        <f>SUM(C103:N103)</f>
        <v>30000</v>
      </c>
    </row>
    <row r="104" spans="1:15">
      <c r="A104" s="13" t="s">
        <v>21</v>
      </c>
      <c r="B104" s="14">
        <v>30000</v>
      </c>
      <c r="C104" s="14"/>
      <c r="D104" s="14"/>
      <c r="E104" s="17"/>
      <c r="F104" s="17"/>
      <c r="G104" s="14"/>
      <c r="H104" s="179">
        <v>30000</v>
      </c>
      <c r="I104" s="14"/>
      <c r="J104" s="18"/>
      <c r="K104" s="14"/>
      <c r="L104" s="14"/>
      <c r="M104" s="14"/>
      <c r="N104" s="15"/>
      <c r="O104" s="16">
        <f>SUM(C104:N104)</f>
        <v>30000</v>
      </c>
    </row>
    <row r="105" spans="1:15" ht="15.75" thickBot="1">
      <c r="A105" s="7" t="s">
        <v>22</v>
      </c>
      <c r="B105" s="8">
        <f>SUM(B101-B103)</f>
        <v>-30000</v>
      </c>
      <c r="C105" s="8">
        <f t="shared" ref="C105:N105" si="241">SUM(C101-C103)</f>
        <v>0</v>
      </c>
      <c r="D105" s="8">
        <f t="shared" si="241"/>
        <v>0</v>
      </c>
      <c r="E105" s="8">
        <f t="shared" si="241"/>
        <v>0</v>
      </c>
      <c r="F105" s="8">
        <f t="shared" si="241"/>
        <v>0</v>
      </c>
      <c r="G105" s="8">
        <f t="shared" si="241"/>
        <v>0</v>
      </c>
      <c r="H105" s="8">
        <f t="shared" si="241"/>
        <v>-30000</v>
      </c>
      <c r="I105" s="8">
        <f t="shared" si="241"/>
        <v>0</v>
      </c>
      <c r="J105" s="8">
        <f t="shared" si="241"/>
        <v>0</v>
      </c>
      <c r="K105" s="8">
        <f t="shared" si="241"/>
        <v>0</v>
      </c>
      <c r="L105" s="8">
        <f t="shared" si="241"/>
        <v>0</v>
      </c>
      <c r="M105" s="8">
        <f t="shared" si="241"/>
        <v>0</v>
      </c>
      <c r="N105" s="8">
        <f t="shared" si="241"/>
        <v>0</v>
      </c>
      <c r="O105" s="9">
        <f>SUM(C105:N105)</f>
        <v>-30000</v>
      </c>
    </row>
    <row r="106" spans="1:15" ht="15.75" thickBot="1">
      <c r="A106" s="20" t="s">
        <v>2</v>
      </c>
      <c r="B106" s="21" t="s">
        <v>3</v>
      </c>
      <c r="C106" s="21" t="s">
        <v>4</v>
      </c>
      <c r="D106" s="21" t="s">
        <v>5</v>
      </c>
      <c r="E106" s="21" t="s">
        <v>6</v>
      </c>
      <c r="F106" s="21" t="s">
        <v>7</v>
      </c>
      <c r="G106" s="21" t="s">
        <v>8</v>
      </c>
      <c r="H106" s="21" t="s">
        <v>9</v>
      </c>
      <c r="I106" s="21" t="s">
        <v>10</v>
      </c>
      <c r="J106" s="21" t="s">
        <v>11</v>
      </c>
      <c r="K106" s="21" t="s">
        <v>12</v>
      </c>
      <c r="L106" s="21" t="s">
        <v>13</v>
      </c>
      <c r="M106" s="21" t="s">
        <v>14</v>
      </c>
      <c r="N106" s="21" t="s">
        <v>15</v>
      </c>
      <c r="O106" s="23" t="s">
        <v>232</v>
      </c>
    </row>
    <row r="107" spans="1:15" ht="15.75" thickBot="1">
      <c r="A107" s="350" t="s">
        <v>16</v>
      </c>
      <c r="B107" s="351"/>
      <c r="C107" s="351"/>
      <c r="D107" s="351"/>
      <c r="E107" s="352"/>
      <c r="F107" s="352"/>
      <c r="G107" s="352"/>
      <c r="H107" s="352"/>
      <c r="I107" s="352"/>
      <c r="J107" s="352"/>
      <c r="K107" s="352"/>
      <c r="L107" s="352"/>
      <c r="M107" s="352"/>
      <c r="N107" s="352"/>
      <c r="O107" s="24"/>
    </row>
    <row r="108" spans="1:15" ht="32.25" customHeight="1">
      <c r="A108" s="344" t="s">
        <v>243</v>
      </c>
      <c r="B108" s="345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6"/>
    </row>
    <row r="109" spans="1:15" ht="15.75" thickBot="1">
      <c r="A109" s="347" t="s">
        <v>18</v>
      </c>
      <c r="B109" s="348"/>
      <c r="C109" s="348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O109" s="349"/>
    </row>
    <row r="110" spans="1:15">
      <c r="A110" s="25" t="s">
        <v>19</v>
      </c>
      <c r="B110" s="26">
        <f>SUM(B111)</f>
        <v>0</v>
      </c>
      <c r="C110" s="26">
        <f t="shared" ref="C110" si="242">SUM(C111)</f>
        <v>0</v>
      </c>
      <c r="D110" s="26">
        <f t="shared" ref="D110" si="243">SUM(D111)</f>
        <v>0</v>
      </c>
      <c r="E110" s="26">
        <f t="shared" ref="E110" si="244">SUM(E111)</f>
        <v>0</v>
      </c>
      <c r="F110" s="26">
        <f t="shared" ref="F110" si="245">SUM(F111)</f>
        <v>0</v>
      </c>
      <c r="G110" s="26">
        <f t="shared" ref="G110" si="246">SUM(G111)</f>
        <v>0</v>
      </c>
      <c r="H110" s="26">
        <f t="shared" ref="H110" si="247">SUM(H111)</f>
        <v>0</v>
      </c>
      <c r="I110" s="26">
        <f t="shared" ref="I110" si="248">SUM(I111)</f>
        <v>0</v>
      </c>
      <c r="J110" s="26">
        <f t="shared" ref="J110" si="249">SUM(J111)</f>
        <v>0</v>
      </c>
      <c r="K110" s="26">
        <f t="shared" ref="K110" si="250">SUM(K111)</f>
        <v>0</v>
      </c>
      <c r="L110" s="26">
        <f t="shared" ref="L110" si="251">SUM(L111)</f>
        <v>0</v>
      </c>
      <c r="M110" s="26">
        <f t="shared" ref="M110" si="252">SUM(M111)</f>
        <v>0</v>
      </c>
      <c r="N110" s="26">
        <f t="shared" ref="N110" si="253">SUM(N111)</f>
        <v>0</v>
      </c>
      <c r="O110" s="22">
        <f>SUM(C110:N110)</f>
        <v>0</v>
      </c>
    </row>
    <row r="111" spans="1:15">
      <c r="A111" s="27"/>
      <c r="B111" s="14"/>
      <c r="C111" s="14"/>
      <c r="D111" s="14"/>
      <c r="E111" s="17"/>
      <c r="F111" s="17"/>
      <c r="G111" s="14"/>
      <c r="H111" s="18"/>
      <c r="I111" s="14"/>
      <c r="J111" s="18"/>
      <c r="K111" s="14"/>
      <c r="L111" s="14"/>
      <c r="M111" s="14"/>
      <c r="N111" s="19"/>
      <c r="O111" s="16">
        <f>SUM(C111:N111)</f>
        <v>0</v>
      </c>
    </row>
    <row r="112" spans="1:15">
      <c r="A112" s="10" t="s">
        <v>20</v>
      </c>
      <c r="B112" s="11">
        <f>SUM(B113)</f>
        <v>11000</v>
      </c>
      <c r="C112" s="11">
        <f t="shared" ref="C112" si="254">SUM(C113)</f>
        <v>0</v>
      </c>
      <c r="D112" s="11">
        <f t="shared" ref="D112" si="255">SUM(D113)</f>
        <v>0</v>
      </c>
      <c r="E112" s="11">
        <f t="shared" ref="E112" si="256">SUM(E113)</f>
        <v>0</v>
      </c>
      <c r="F112" s="11">
        <f t="shared" ref="F112" si="257">SUM(F113)</f>
        <v>0</v>
      </c>
      <c r="G112" s="11">
        <f t="shared" ref="G112" si="258">SUM(G113)</f>
        <v>11000</v>
      </c>
      <c r="H112" s="11">
        <f t="shared" ref="H112" si="259">SUM(H113)</f>
        <v>0</v>
      </c>
      <c r="I112" s="11">
        <f t="shared" ref="I112" si="260">SUM(I113)</f>
        <v>0</v>
      </c>
      <c r="J112" s="11">
        <f t="shared" ref="J112" si="261">SUM(J113)</f>
        <v>0</v>
      </c>
      <c r="K112" s="11">
        <f t="shared" ref="K112" si="262">SUM(K113)</f>
        <v>0</v>
      </c>
      <c r="L112" s="11">
        <f t="shared" ref="L112" si="263">SUM(L113)</f>
        <v>0</v>
      </c>
      <c r="M112" s="11">
        <f t="shared" ref="M112" si="264">SUM(M113)</f>
        <v>0</v>
      </c>
      <c r="N112" s="11">
        <f t="shared" ref="N112" si="265">SUM(N113)</f>
        <v>0</v>
      </c>
      <c r="O112" s="12">
        <f>SUM(C112:N112)</f>
        <v>11000</v>
      </c>
    </row>
    <row r="113" spans="1:15">
      <c r="A113" s="13" t="s">
        <v>21</v>
      </c>
      <c r="B113" s="14">
        <v>11000</v>
      </c>
      <c r="C113" s="14"/>
      <c r="D113" s="14"/>
      <c r="E113" s="17"/>
      <c r="F113" s="17"/>
      <c r="G113" s="14">
        <v>11000</v>
      </c>
      <c r="H113" s="18"/>
      <c r="I113" s="14"/>
      <c r="J113" s="18"/>
      <c r="K113" s="14"/>
      <c r="L113" s="14"/>
      <c r="M113" s="14"/>
      <c r="N113" s="15"/>
      <c r="O113" s="16">
        <f>SUM(C113:N113)</f>
        <v>11000</v>
      </c>
    </row>
    <row r="114" spans="1:15" ht="15.75" thickBot="1">
      <c r="A114" s="7" t="s">
        <v>22</v>
      </c>
      <c r="B114" s="8">
        <f>SUM(B110-B112)</f>
        <v>-11000</v>
      </c>
      <c r="C114" s="8">
        <f t="shared" ref="C114:N114" si="266">SUM(C110-C112)</f>
        <v>0</v>
      </c>
      <c r="D114" s="8">
        <f t="shared" si="266"/>
        <v>0</v>
      </c>
      <c r="E114" s="8">
        <f t="shared" si="266"/>
        <v>0</v>
      </c>
      <c r="F114" s="8">
        <f t="shared" si="266"/>
        <v>0</v>
      </c>
      <c r="G114" s="8">
        <f t="shared" si="266"/>
        <v>-11000</v>
      </c>
      <c r="H114" s="8">
        <f t="shared" si="266"/>
        <v>0</v>
      </c>
      <c r="I114" s="8">
        <f t="shared" si="266"/>
        <v>0</v>
      </c>
      <c r="J114" s="8">
        <f t="shared" si="266"/>
        <v>0</v>
      </c>
      <c r="K114" s="8">
        <f t="shared" si="266"/>
        <v>0</v>
      </c>
      <c r="L114" s="8">
        <f t="shared" si="266"/>
        <v>0</v>
      </c>
      <c r="M114" s="8">
        <f t="shared" si="266"/>
        <v>0</v>
      </c>
      <c r="N114" s="8">
        <f t="shared" si="266"/>
        <v>0</v>
      </c>
      <c r="O114" s="9">
        <f>SUM(C114:N114)</f>
        <v>-11000</v>
      </c>
    </row>
    <row r="115" spans="1:15" ht="15.75" thickBot="1">
      <c r="A115" s="20" t="s">
        <v>2</v>
      </c>
      <c r="B115" s="21" t="s">
        <v>3</v>
      </c>
      <c r="C115" s="21" t="s">
        <v>4</v>
      </c>
      <c r="D115" s="21" t="s">
        <v>5</v>
      </c>
      <c r="E115" s="21" t="s">
        <v>6</v>
      </c>
      <c r="F115" s="21" t="s">
        <v>7</v>
      </c>
      <c r="G115" s="21" t="s">
        <v>8</v>
      </c>
      <c r="H115" s="21" t="s">
        <v>9</v>
      </c>
      <c r="I115" s="21" t="s">
        <v>10</v>
      </c>
      <c r="J115" s="21" t="s">
        <v>11</v>
      </c>
      <c r="K115" s="21" t="s">
        <v>12</v>
      </c>
      <c r="L115" s="21" t="s">
        <v>13</v>
      </c>
      <c r="M115" s="21" t="s">
        <v>14</v>
      </c>
      <c r="N115" s="21" t="s">
        <v>15</v>
      </c>
      <c r="O115" s="23" t="s">
        <v>232</v>
      </c>
    </row>
    <row r="116" spans="1:15" ht="15.75" thickBot="1">
      <c r="A116" s="350" t="s">
        <v>16</v>
      </c>
      <c r="B116" s="351"/>
      <c r="C116" s="351"/>
      <c r="D116" s="351"/>
      <c r="E116" s="352"/>
      <c r="F116" s="352"/>
      <c r="G116" s="352"/>
      <c r="H116" s="352"/>
      <c r="I116" s="352"/>
      <c r="J116" s="352"/>
      <c r="K116" s="352"/>
      <c r="L116" s="352"/>
      <c r="M116" s="352"/>
      <c r="N116" s="352"/>
      <c r="O116" s="24"/>
    </row>
    <row r="117" spans="1:15">
      <c r="A117" s="344" t="s">
        <v>244</v>
      </c>
      <c r="B117" s="345"/>
      <c r="C117" s="345"/>
      <c r="D117" s="345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6"/>
    </row>
    <row r="118" spans="1:15" ht="15.75" thickBot="1">
      <c r="A118" s="347" t="s">
        <v>18</v>
      </c>
      <c r="B118" s="348"/>
      <c r="C118" s="348"/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9"/>
    </row>
    <row r="119" spans="1:15">
      <c r="A119" s="25" t="s">
        <v>19</v>
      </c>
      <c r="B119" s="26">
        <f>SUM(B120)</f>
        <v>0</v>
      </c>
      <c r="C119" s="26">
        <f t="shared" ref="C119" si="267">SUM(C120)</f>
        <v>0</v>
      </c>
      <c r="D119" s="26">
        <f t="shared" ref="D119" si="268">SUM(D120)</f>
        <v>0</v>
      </c>
      <c r="E119" s="26">
        <f t="shared" ref="E119" si="269">SUM(E120)</f>
        <v>0</v>
      </c>
      <c r="F119" s="26">
        <f t="shared" ref="F119" si="270">SUM(F120)</f>
        <v>0</v>
      </c>
      <c r="G119" s="26">
        <f t="shared" ref="G119" si="271">SUM(G120)</f>
        <v>0</v>
      </c>
      <c r="H119" s="26">
        <f t="shared" ref="H119" si="272">SUM(H120)</f>
        <v>0</v>
      </c>
      <c r="I119" s="26">
        <f t="shared" ref="I119" si="273">SUM(I120)</f>
        <v>0</v>
      </c>
      <c r="J119" s="26">
        <f t="shared" ref="J119" si="274">SUM(J120)</f>
        <v>0</v>
      </c>
      <c r="K119" s="26">
        <f t="shared" ref="K119" si="275">SUM(K120)</f>
        <v>0</v>
      </c>
      <c r="L119" s="26">
        <f t="shared" ref="L119" si="276">SUM(L120)</f>
        <v>0</v>
      </c>
      <c r="M119" s="26">
        <f t="shared" ref="M119" si="277">SUM(M120)</f>
        <v>0</v>
      </c>
      <c r="N119" s="26">
        <f t="shared" ref="N119" si="278">SUM(N120)</f>
        <v>0</v>
      </c>
      <c r="O119" s="22">
        <f>SUM(C119:N119)</f>
        <v>0</v>
      </c>
    </row>
    <row r="120" spans="1:15">
      <c r="A120" s="27"/>
      <c r="B120" s="14"/>
      <c r="C120" s="14"/>
      <c r="D120" s="14"/>
      <c r="E120" s="17"/>
      <c r="F120" s="17"/>
      <c r="G120" s="14"/>
      <c r="H120" s="18"/>
      <c r="I120" s="14"/>
      <c r="J120" s="18"/>
      <c r="K120" s="14"/>
      <c r="L120" s="14"/>
      <c r="M120" s="14"/>
      <c r="N120" s="19"/>
      <c r="O120" s="16">
        <f>SUM(C120:N120)</f>
        <v>0</v>
      </c>
    </row>
    <row r="121" spans="1:15">
      <c r="A121" s="10" t="s">
        <v>20</v>
      </c>
      <c r="B121" s="11">
        <f>SUM(B122)</f>
        <v>12000</v>
      </c>
      <c r="C121" s="11">
        <f t="shared" ref="C121" si="279">SUM(C122)</f>
        <v>0</v>
      </c>
      <c r="D121" s="11">
        <f t="shared" ref="D121" si="280">SUM(D122)</f>
        <v>12000</v>
      </c>
      <c r="E121" s="11">
        <f t="shared" ref="E121" si="281">SUM(E122)</f>
        <v>0</v>
      </c>
      <c r="F121" s="11">
        <f t="shared" ref="F121" si="282">SUM(F122)</f>
        <v>0</v>
      </c>
      <c r="G121" s="11">
        <f t="shared" ref="G121" si="283">SUM(G122)</f>
        <v>0</v>
      </c>
      <c r="H121" s="11">
        <f t="shared" ref="H121" si="284">SUM(H122)</f>
        <v>0</v>
      </c>
      <c r="I121" s="11">
        <f t="shared" ref="I121" si="285">SUM(I122)</f>
        <v>0</v>
      </c>
      <c r="J121" s="11">
        <f t="shared" ref="J121" si="286">SUM(J122)</f>
        <v>0</v>
      </c>
      <c r="K121" s="11">
        <f t="shared" ref="K121" si="287">SUM(K122)</f>
        <v>0</v>
      </c>
      <c r="L121" s="11">
        <f t="shared" ref="L121" si="288">SUM(L122)</f>
        <v>0</v>
      </c>
      <c r="M121" s="11">
        <f t="shared" ref="M121" si="289">SUM(M122)</f>
        <v>0</v>
      </c>
      <c r="N121" s="11">
        <f t="shared" ref="N121" si="290">SUM(N122)</f>
        <v>0</v>
      </c>
      <c r="O121" s="12">
        <f>SUM(C121:N121)</f>
        <v>12000</v>
      </c>
    </row>
    <row r="122" spans="1:15">
      <c r="A122" s="13" t="s">
        <v>21</v>
      </c>
      <c r="B122" s="14">
        <v>12000</v>
      </c>
      <c r="C122" s="14"/>
      <c r="D122" s="14">
        <v>12000</v>
      </c>
      <c r="E122" s="17"/>
      <c r="F122" s="17"/>
      <c r="G122" s="14"/>
      <c r="H122" s="18"/>
      <c r="I122" s="14"/>
      <c r="J122" s="18"/>
      <c r="K122" s="14"/>
      <c r="L122" s="14"/>
      <c r="M122" s="14"/>
      <c r="N122" s="15"/>
      <c r="O122" s="16">
        <f>SUM(C122:N122)</f>
        <v>12000</v>
      </c>
    </row>
    <row r="123" spans="1:15" ht="15.75" thickBot="1">
      <c r="A123" s="7" t="s">
        <v>22</v>
      </c>
      <c r="B123" s="8">
        <f>SUM(B119-B121)</f>
        <v>-12000</v>
      </c>
      <c r="C123" s="8">
        <f t="shared" ref="C123:N123" si="291">SUM(C119-C121)</f>
        <v>0</v>
      </c>
      <c r="D123" s="8">
        <f t="shared" si="291"/>
        <v>-12000</v>
      </c>
      <c r="E123" s="8">
        <f t="shared" si="291"/>
        <v>0</v>
      </c>
      <c r="F123" s="8">
        <f t="shared" si="291"/>
        <v>0</v>
      </c>
      <c r="G123" s="8">
        <f t="shared" si="291"/>
        <v>0</v>
      </c>
      <c r="H123" s="8">
        <f t="shared" si="291"/>
        <v>0</v>
      </c>
      <c r="I123" s="8">
        <f t="shared" si="291"/>
        <v>0</v>
      </c>
      <c r="J123" s="8">
        <f t="shared" si="291"/>
        <v>0</v>
      </c>
      <c r="K123" s="8">
        <f t="shared" si="291"/>
        <v>0</v>
      </c>
      <c r="L123" s="8">
        <f t="shared" si="291"/>
        <v>0</v>
      </c>
      <c r="M123" s="8">
        <f t="shared" si="291"/>
        <v>0</v>
      </c>
      <c r="N123" s="8">
        <f t="shared" si="291"/>
        <v>0</v>
      </c>
      <c r="O123" s="9">
        <f>SUM(C123:N123)</f>
        <v>-12000</v>
      </c>
    </row>
    <row r="124" spans="1:15" ht="15.75" thickBot="1">
      <c r="A124" s="20" t="s">
        <v>2</v>
      </c>
      <c r="B124" s="21" t="s">
        <v>3</v>
      </c>
      <c r="C124" s="21" t="s">
        <v>4</v>
      </c>
      <c r="D124" s="21" t="s">
        <v>5</v>
      </c>
      <c r="E124" s="21" t="s">
        <v>6</v>
      </c>
      <c r="F124" s="21" t="s">
        <v>7</v>
      </c>
      <c r="G124" s="21" t="s">
        <v>8</v>
      </c>
      <c r="H124" s="21" t="s">
        <v>9</v>
      </c>
      <c r="I124" s="21" t="s">
        <v>10</v>
      </c>
      <c r="J124" s="21" t="s">
        <v>11</v>
      </c>
      <c r="K124" s="21" t="s">
        <v>12</v>
      </c>
      <c r="L124" s="21" t="s">
        <v>13</v>
      </c>
      <c r="M124" s="21" t="s">
        <v>14</v>
      </c>
      <c r="N124" s="21" t="s">
        <v>15</v>
      </c>
      <c r="O124" s="23" t="s">
        <v>232</v>
      </c>
    </row>
    <row r="125" spans="1:15" ht="15.75" thickBot="1">
      <c r="A125" s="350" t="s">
        <v>16</v>
      </c>
      <c r="B125" s="351"/>
      <c r="C125" s="351"/>
      <c r="D125" s="351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24"/>
    </row>
    <row r="126" spans="1:15">
      <c r="A126" s="344" t="s">
        <v>245</v>
      </c>
      <c r="B126" s="345"/>
      <c r="C126" s="345"/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6"/>
    </row>
    <row r="127" spans="1:15" ht="15.75" thickBot="1">
      <c r="A127" s="347" t="s">
        <v>18</v>
      </c>
      <c r="B127" s="348"/>
      <c r="C127" s="348"/>
      <c r="D127" s="348"/>
      <c r="E127" s="348"/>
      <c r="F127" s="348"/>
      <c r="G127" s="348"/>
      <c r="H127" s="348"/>
      <c r="I127" s="348"/>
      <c r="J127" s="348"/>
      <c r="K127" s="348"/>
      <c r="L127" s="348"/>
      <c r="M127" s="348"/>
      <c r="N127" s="348"/>
      <c r="O127" s="349"/>
    </row>
    <row r="128" spans="1:15">
      <c r="A128" s="25" t="s">
        <v>19</v>
      </c>
      <c r="B128" s="26">
        <f>SUM(B129)</f>
        <v>0</v>
      </c>
      <c r="C128" s="26">
        <f t="shared" ref="C128" si="292">SUM(C129)</f>
        <v>0</v>
      </c>
      <c r="D128" s="26">
        <f t="shared" ref="D128" si="293">SUM(D129)</f>
        <v>0</v>
      </c>
      <c r="E128" s="26">
        <f t="shared" ref="E128" si="294">SUM(E129)</f>
        <v>0</v>
      </c>
      <c r="F128" s="26">
        <f t="shared" ref="F128" si="295">SUM(F129)</f>
        <v>0</v>
      </c>
      <c r="G128" s="26">
        <f t="shared" ref="G128" si="296">SUM(G129)</f>
        <v>0</v>
      </c>
      <c r="H128" s="26">
        <f t="shared" ref="H128" si="297">SUM(H129)</f>
        <v>0</v>
      </c>
      <c r="I128" s="26">
        <f t="shared" ref="I128" si="298">SUM(I129)</f>
        <v>0</v>
      </c>
      <c r="J128" s="26">
        <f t="shared" ref="J128" si="299">SUM(J129)</f>
        <v>0</v>
      </c>
      <c r="K128" s="26">
        <f t="shared" ref="K128" si="300">SUM(K129)</f>
        <v>0</v>
      </c>
      <c r="L128" s="26">
        <f t="shared" ref="L128" si="301">SUM(L129)</f>
        <v>0</v>
      </c>
      <c r="M128" s="26">
        <f t="shared" ref="M128" si="302">SUM(M129)</f>
        <v>0</v>
      </c>
      <c r="N128" s="26">
        <f t="shared" ref="N128" si="303">SUM(N129)</f>
        <v>0</v>
      </c>
      <c r="O128" s="22">
        <f>SUM(C128:N128)</f>
        <v>0</v>
      </c>
    </row>
    <row r="129" spans="1:16">
      <c r="A129" s="27"/>
      <c r="B129" s="14"/>
      <c r="C129" s="14"/>
      <c r="D129" s="14"/>
      <c r="E129" s="17"/>
      <c r="F129" s="17"/>
      <c r="G129" s="14"/>
      <c r="H129" s="18"/>
      <c r="I129" s="14"/>
      <c r="J129" s="18"/>
      <c r="K129" s="14"/>
      <c r="L129" s="14"/>
      <c r="M129" s="14"/>
      <c r="N129" s="19"/>
      <c r="O129" s="16">
        <f>SUM(C129:N129)</f>
        <v>0</v>
      </c>
    </row>
    <row r="130" spans="1:16">
      <c r="A130" s="10" t="s">
        <v>20</v>
      </c>
      <c r="B130" s="11">
        <f>SUM(B131)</f>
        <v>50000</v>
      </c>
      <c r="C130" s="11">
        <f t="shared" ref="C130" si="304">SUM(C131)</f>
        <v>0</v>
      </c>
      <c r="D130" s="11">
        <f t="shared" ref="D130" si="305">SUM(D131)</f>
        <v>0</v>
      </c>
      <c r="E130" s="11">
        <f t="shared" ref="E130" si="306">SUM(E131)</f>
        <v>0</v>
      </c>
      <c r="F130" s="11">
        <f t="shared" ref="F130" si="307">SUM(F131)</f>
        <v>0</v>
      </c>
      <c r="G130" s="11">
        <f t="shared" ref="G130" si="308">SUM(G131)</f>
        <v>0</v>
      </c>
      <c r="H130" s="11">
        <f t="shared" ref="H130" si="309">SUM(H131)</f>
        <v>50000</v>
      </c>
      <c r="I130" s="11">
        <f t="shared" ref="I130" si="310">SUM(I131)</f>
        <v>0</v>
      </c>
      <c r="J130" s="11">
        <f t="shared" ref="J130" si="311">SUM(J131)</f>
        <v>0</v>
      </c>
      <c r="K130" s="11">
        <f t="shared" ref="K130" si="312">SUM(K131)</f>
        <v>0</v>
      </c>
      <c r="L130" s="11">
        <f t="shared" ref="L130" si="313">SUM(L131)</f>
        <v>0</v>
      </c>
      <c r="M130" s="11">
        <f t="shared" ref="M130" si="314">SUM(M131)</f>
        <v>0</v>
      </c>
      <c r="N130" s="11">
        <f t="shared" ref="N130" si="315">SUM(N131)</f>
        <v>0</v>
      </c>
      <c r="O130" s="12">
        <f>SUM(C130:N130)</f>
        <v>50000</v>
      </c>
    </row>
    <row r="131" spans="1:16">
      <c r="A131" s="13" t="s">
        <v>21</v>
      </c>
      <c r="B131" s="14">
        <v>50000</v>
      </c>
      <c r="C131" s="14"/>
      <c r="D131" s="14"/>
      <c r="E131" s="17"/>
      <c r="F131" s="17"/>
      <c r="G131" s="14"/>
      <c r="H131" s="179">
        <v>50000</v>
      </c>
      <c r="I131" s="14"/>
      <c r="J131" s="18"/>
      <c r="K131" s="14"/>
      <c r="L131" s="14"/>
      <c r="M131" s="14"/>
      <c r="N131" s="15"/>
      <c r="O131" s="16">
        <f>SUM(C131:N131)</f>
        <v>50000</v>
      </c>
    </row>
    <row r="132" spans="1:16" ht="15.75" thickBot="1">
      <c r="A132" s="7" t="s">
        <v>22</v>
      </c>
      <c r="B132" s="8">
        <f>SUM(B128-B130)</f>
        <v>-50000</v>
      </c>
      <c r="C132" s="8">
        <f t="shared" ref="C132:N132" si="316">SUM(C128-C130)</f>
        <v>0</v>
      </c>
      <c r="D132" s="8">
        <f t="shared" si="316"/>
        <v>0</v>
      </c>
      <c r="E132" s="8">
        <f t="shared" si="316"/>
        <v>0</v>
      </c>
      <c r="F132" s="8">
        <f t="shared" si="316"/>
        <v>0</v>
      </c>
      <c r="G132" s="8">
        <f t="shared" si="316"/>
        <v>0</v>
      </c>
      <c r="H132" s="8">
        <f t="shared" si="316"/>
        <v>-50000</v>
      </c>
      <c r="I132" s="8">
        <f t="shared" si="316"/>
        <v>0</v>
      </c>
      <c r="J132" s="8">
        <f t="shared" si="316"/>
        <v>0</v>
      </c>
      <c r="K132" s="8">
        <f t="shared" si="316"/>
        <v>0</v>
      </c>
      <c r="L132" s="8">
        <f t="shared" si="316"/>
        <v>0</v>
      </c>
      <c r="M132" s="8">
        <f t="shared" si="316"/>
        <v>0</v>
      </c>
      <c r="N132" s="8">
        <f t="shared" si="316"/>
        <v>0</v>
      </c>
      <c r="O132" s="9">
        <f>SUM(C132:N132)</f>
        <v>-50000</v>
      </c>
    </row>
    <row r="133" spans="1:16" ht="15.75" thickBot="1">
      <c r="A133" s="20" t="s">
        <v>2</v>
      </c>
      <c r="B133" s="21" t="s">
        <v>3</v>
      </c>
      <c r="C133" s="21" t="s">
        <v>4</v>
      </c>
      <c r="D133" s="21" t="s">
        <v>5</v>
      </c>
      <c r="E133" s="21" t="s">
        <v>6</v>
      </c>
      <c r="F133" s="21" t="s">
        <v>7</v>
      </c>
      <c r="G133" s="21" t="s">
        <v>8</v>
      </c>
      <c r="H133" s="21" t="s">
        <v>9</v>
      </c>
      <c r="I133" s="21" t="s">
        <v>10</v>
      </c>
      <c r="J133" s="21" t="s">
        <v>11</v>
      </c>
      <c r="K133" s="21" t="s">
        <v>12</v>
      </c>
      <c r="L133" s="21" t="s">
        <v>13</v>
      </c>
      <c r="M133" s="21" t="s">
        <v>14</v>
      </c>
      <c r="N133" s="21" t="s">
        <v>15</v>
      </c>
      <c r="O133" s="23" t="s">
        <v>232</v>
      </c>
    </row>
    <row r="134" spans="1:16" ht="15.75" thickBot="1">
      <c r="A134" s="350" t="s">
        <v>16</v>
      </c>
      <c r="B134" s="351"/>
      <c r="C134" s="351"/>
      <c r="D134" s="351"/>
      <c r="E134" s="352"/>
      <c r="F134" s="352"/>
      <c r="G134" s="352"/>
      <c r="H134" s="352"/>
      <c r="I134" s="352"/>
      <c r="J134" s="352"/>
      <c r="K134" s="352"/>
      <c r="L134" s="352"/>
      <c r="M134" s="352"/>
      <c r="N134" s="352"/>
      <c r="O134" s="24"/>
    </row>
    <row r="135" spans="1:16">
      <c r="A135" s="344" t="s">
        <v>29</v>
      </c>
      <c r="B135" s="345"/>
      <c r="C135" s="345"/>
      <c r="D135" s="345"/>
      <c r="E135" s="345"/>
      <c r="F135" s="345"/>
      <c r="G135" s="345"/>
      <c r="H135" s="345"/>
      <c r="I135" s="345"/>
      <c r="J135" s="345"/>
      <c r="K135" s="345"/>
      <c r="L135" s="345"/>
      <c r="M135" s="345"/>
      <c r="N135" s="345"/>
      <c r="O135" s="346"/>
    </row>
    <row r="136" spans="1:16" ht="15.75" thickBot="1">
      <c r="A136" s="347" t="s">
        <v>18</v>
      </c>
      <c r="B136" s="348"/>
      <c r="C136" s="348"/>
      <c r="D136" s="348"/>
      <c r="E136" s="348"/>
      <c r="F136" s="348"/>
      <c r="G136" s="348"/>
      <c r="H136" s="348"/>
      <c r="I136" s="348"/>
      <c r="J136" s="348"/>
      <c r="K136" s="348"/>
      <c r="L136" s="348"/>
      <c r="M136" s="348"/>
      <c r="N136" s="348"/>
      <c r="O136" s="349"/>
    </row>
    <row r="137" spans="1:16">
      <c r="A137" s="25" t="s">
        <v>19</v>
      </c>
      <c r="B137" s="26">
        <f>SUM(B138:B139)</f>
        <v>1519271</v>
      </c>
      <c r="C137" s="26">
        <f t="shared" ref="C137:N137" si="317">SUM(C138:C139)</f>
        <v>0</v>
      </c>
      <c r="D137" s="26">
        <f t="shared" si="317"/>
        <v>751</v>
      </c>
      <c r="E137" s="26">
        <f t="shared" si="317"/>
        <v>0</v>
      </c>
      <c r="F137" s="26">
        <f t="shared" si="317"/>
        <v>0</v>
      </c>
      <c r="G137" s="26">
        <f t="shared" si="317"/>
        <v>0</v>
      </c>
      <c r="H137" s="26">
        <f t="shared" si="317"/>
        <v>0</v>
      </c>
      <c r="I137" s="26">
        <f t="shared" si="317"/>
        <v>0</v>
      </c>
      <c r="J137" s="26">
        <f t="shared" si="317"/>
        <v>1279694</v>
      </c>
      <c r="K137" s="26">
        <f t="shared" si="317"/>
        <v>0</v>
      </c>
      <c r="L137" s="26">
        <f t="shared" si="317"/>
        <v>225827</v>
      </c>
      <c r="M137" s="26">
        <f t="shared" si="317"/>
        <v>13750</v>
      </c>
      <c r="N137" s="241">
        <f t="shared" si="317"/>
        <v>0</v>
      </c>
      <c r="O137" s="22">
        <f t="shared" ref="O137:O142" si="318">SUM(C137:N137)</f>
        <v>1520022</v>
      </c>
      <c r="P137" t="s">
        <v>252</v>
      </c>
    </row>
    <row r="138" spans="1:16">
      <c r="A138" s="27" t="s">
        <v>253</v>
      </c>
      <c r="B138" s="14">
        <v>227891</v>
      </c>
      <c r="C138" s="14"/>
      <c r="D138" s="14">
        <v>113</v>
      </c>
      <c r="E138" s="17"/>
      <c r="F138" s="17"/>
      <c r="G138" s="14"/>
      <c r="H138" s="18"/>
      <c r="I138" s="14"/>
      <c r="J138" s="18"/>
      <c r="K138" s="14"/>
      <c r="L138" s="14">
        <v>225827</v>
      </c>
      <c r="M138" s="14">
        <v>2064</v>
      </c>
      <c r="N138" s="246"/>
      <c r="O138" s="16">
        <f t="shared" si="318"/>
        <v>228004</v>
      </c>
    </row>
    <row r="139" spans="1:16" s="4" customFormat="1">
      <c r="A139" s="27" t="s">
        <v>27</v>
      </c>
      <c r="B139" s="14">
        <v>1291380</v>
      </c>
      <c r="C139" s="14"/>
      <c r="D139" s="14">
        <v>638</v>
      </c>
      <c r="E139" s="17"/>
      <c r="F139" s="17"/>
      <c r="G139" s="14"/>
      <c r="H139" s="18"/>
      <c r="I139" s="14"/>
      <c r="J139" s="179">
        <v>1279694</v>
      </c>
      <c r="K139" s="271"/>
      <c r="L139" s="271"/>
      <c r="M139" s="14">
        <v>11686</v>
      </c>
      <c r="N139" s="246"/>
      <c r="O139" s="16">
        <f t="shared" si="318"/>
        <v>1292018</v>
      </c>
    </row>
    <row r="140" spans="1:16">
      <c r="A140" s="10" t="s">
        <v>20</v>
      </c>
      <c r="B140" s="11">
        <f>SUM(B141)</f>
        <v>1868704</v>
      </c>
      <c r="C140" s="11">
        <f t="shared" ref="C140" si="319">SUM(C141)</f>
        <v>0</v>
      </c>
      <c r="D140" s="11">
        <f t="shared" ref="D140" si="320">SUM(D141)</f>
        <v>0</v>
      </c>
      <c r="E140" s="11">
        <f t="shared" ref="E140" si="321">SUM(E141)</f>
        <v>0</v>
      </c>
      <c r="F140" s="11">
        <f t="shared" ref="F140" si="322">SUM(F141)</f>
        <v>0</v>
      </c>
      <c r="G140" s="11">
        <f t="shared" ref="G140" si="323">SUM(G141)</f>
        <v>0</v>
      </c>
      <c r="H140" s="11">
        <f t="shared" ref="H140" si="324">SUM(H141)</f>
        <v>0</v>
      </c>
      <c r="I140" s="11">
        <f t="shared" ref="I140" si="325">SUM(I141)</f>
        <v>0</v>
      </c>
      <c r="J140" s="11">
        <f t="shared" ref="J140" si="326">SUM(J141)</f>
        <v>1851793</v>
      </c>
      <c r="K140" s="11">
        <f t="shared" ref="K140" si="327">SUM(K141)</f>
        <v>0</v>
      </c>
      <c r="L140" s="11">
        <f t="shared" ref="L140" si="328">SUM(L141)</f>
        <v>0</v>
      </c>
      <c r="M140" s="11">
        <f t="shared" ref="M140" si="329">SUM(M141)</f>
        <v>0</v>
      </c>
      <c r="N140" s="249">
        <f t="shared" ref="N140" si="330">SUM(N141)</f>
        <v>16911</v>
      </c>
      <c r="O140" s="12">
        <f t="shared" si="318"/>
        <v>1868704</v>
      </c>
    </row>
    <row r="141" spans="1:16">
      <c r="A141" s="13" t="s">
        <v>21</v>
      </c>
      <c r="B141" s="14">
        <v>1868704</v>
      </c>
      <c r="C141" s="14"/>
      <c r="D141" s="14"/>
      <c r="E141" s="17"/>
      <c r="F141" s="17"/>
      <c r="G141" s="14"/>
      <c r="H141" s="179"/>
      <c r="I141" s="14"/>
      <c r="J141" s="179">
        <v>1851793</v>
      </c>
      <c r="K141" s="14"/>
      <c r="L141" s="14"/>
      <c r="M141" s="14"/>
      <c r="N141" s="177">
        <v>16911</v>
      </c>
      <c r="O141" s="16">
        <f t="shared" si="318"/>
        <v>1868704</v>
      </c>
    </row>
    <row r="142" spans="1:16" ht="15.75" thickBot="1">
      <c r="A142" s="7" t="s">
        <v>22</v>
      </c>
      <c r="B142" s="8">
        <f>SUM(B137-B140)</f>
        <v>-349433</v>
      </c>
      <c r="C142" s="8">
        <f t="shared" ref="C142:N142" si="331">SUM(C137-C140)</f>
        <v>0</v>
      </c>
      <c r="D142" s="8">
        <f t="shared" si="331"/>
        <v>751</v>
      </c>
      <c r="E142" s="8">
        <f t="shared" si="331"/>
        <v>0</v>
      </c>
      <c r="F142" s="8">
        <f t="shared" si="331"/>
        <v>0</v>
      </c>
      <c r="G142" s="8">
        <f t="shared" si="331"/>
        <v>0</v>
      </c>
      <c r="H142" s="8">
        <f t="shared" si="331"/>
        <v>0</v>
      </c>
      <c r="I142" s="8">
        <f t="shared" si="331"/>
        <v>0</v>
      </c>
      <c r="J142" s="8">
        <f t="shared" si="331"/>
        <v>-572099</v>
      </c>
      <c r="K142" s="8">
        <f t="shared" si="331"/>
        <v>0</v>
      </c>
      <c r="L142" s="8">
        <f t="shared" si="331"/>
        <v>225827</v>
      </c>
      <c r="M142" s="8">
        <f t="shared" si="331"/>
        <v>13750</v>
      </c>
      <c r="N142" s="252">
        <f t="shared" si="331"/>
        <v>-16911</v>
      </c>
      <c r="O142" s="9">
        <f t="shared" si="318"/>
        <v>-348682</v>
      </c>
    </row>
    <row r="143" spans="1:16" s="4" customFormat="1" ht="15.75" thickBot="1">
      <c r="A143" s="302" t="s">
        <v>282</v>
      </c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301"/>
      <c r="O143" s="292"/>
    </row>
    <row r="144" spans="1:16" ht="15.75" thickBot="1">
      <c r="A144" s="20" t="s">
        <v>2</v>
      </c>
      <c r="B144" s="21" t="s">
        <v>3</v>
      </c>
      <c r="C144" s="21" t="s">
        <v>4</v>
      </c>
      <c r="D144" s="21" t="s">
        <v>5</v>
      </c>
      <c r="E144" s="21" t="s">
        <v>6</v>
      </c>
      <c r="F144" s="21" t="s">
        <v>7</v>
      </c>
      <c r="G144" s="21" t="s">
        <v>8</v>
      </c>
      <c r="H144" s="21" t="s">
        <v>9</v>
      </c>
      <c r="I144" s="21" t="s">
        <v>10</v>
      </c>
      <c r="J144" s="21" t="s">
        <v>11</v>
      </c>
      <c r="K144" s="21" t="s">
        <v>12</v>
      </c>
      <c r="L144" s="21" t="s">
        <v>13</v>
      </c>
      <c r="M144" s="21" t="s">
        <v>14</v>
      </c>
      <c r="N144" s="21" t="s">
        <v>15</v>
      </c>
      <c r="O144" s="23" t="s">
        <v>232</v>
      </c>
    </row>
    <row r="145" spans="1:15" ht="15.75" thickBot="1">
      <c r="A145" s="350" t="s">
        <v>16</v>
      </c>
      <c r="B145" s="351"/>
      <c r="C145" s="351"/>
      <c r="D145" s="351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24"/>
    </row>
    <row r="146" spans="1:15">
      <c r="A146" s="344" t="s">
        <v>246</v>
      </c>
      <c r="B146" s="345"/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6"/>
    </row>
    <row r="147" spans="1:15" ht="15.75" thickBot="1">
      <c r="A147" s="347" t="s">
        <v>23</v>
      </c>
      <c r="B147" s="348"/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9"/>
    </row>
    <row r="148" spans="1:15">
      <c r="A148" s="25" t="s">
        <v>19</v>
      </c>
      <c r="B148" s="26">
        <f>SUM(B149)</f>
        <v>0</v>
      </c>
      <c r="C148" s="26">
        <f t="shared" ref="C148" si="332">SUM(C149)</f>
        <v>0</v>
      </c>
      <c r="D148" s="26">
        <f t="shared" ref="D148" si="333">SUM(D149)</f>
        <v>0</v>
      </c>
      <c r="E148" s="26">
        <f t="shared" ref="E148" si="334">SUM(E149)</f>
        <v>0</v>
      </c>
      <c r="F148" s="26">
        <f t="shared" ref="F148" si="335">SUM(F149)</f>
        <v>0</v>
      </c>
      <c r="G148" s="26">
        <f t="shared" ref="G148" si="336">SUM(G149)</f>
        <v>0</v>
      </c>
      <c r="H148" s="26">
        <f t="shared" ref="H148" si="337">SUM(H149)</f>
        <v>0</v>
      </c>
      <c r="I148" s="26">
        <f t="shared" ref="I148" si="338">SUM(I149)</f>
        <v>0</v>
      </c>
      <c r="J148" s="26">
        <f t="shared" ref="J148" si="339">SUM(J149)</f>
        <v>0</v>
      </c>
      <c r="K148" s="26">
        <f t="shared" ref="K148" si="340">SUM(K149)</f>
        <v>0</v>
      </c>
      <c r="L148" s="26">
        <f t="shared" ref="L148" si="341">SUM(L149)</f>
        <v>0</v>
      </c>
      <c r="M148" s="26">
        <f t="shared" ref="M148" si="342">SUM(M149)</f>
        <v>0</v>
      </c>
      <c r="N148" s="26">
        <f t="shared" ref="N148" si="343">SUM(N149)</f>
        <v>0</v>
      </c>
      <c r="O148" s="22">
        <f>SUM(C148:N148)</f>
        <v>0</v>
      </c>
    </row>
    <row r="149" spans="1:15">
      <c r="A149" s="27"/>
      <c r="B149" s="14"/>
      <c r="C149" s="14"/>
      <c r="D149" s="14"/>
      <c r="E149" s="17"/>
      <c r="F149" s="17"/>
      <c r="G149" s="14"/>
      <c r="H149" s="18"/>
      <c r="I149" s="14"/>
      <c r="J149" s="18"/>
      <c r="K149" s="14"/>
      <c r="L149" s="14"/>
      <c r="M149" s="14"/>
      <c r="N149" s="19"/>
      <c r="O149" s="16">
        <f>SUM(C149:N149)</f>
        <v>0</v>
      </c>
    </row>
    <row r="150" spans="1:15">
      <c r="A150" s="10" t="s">
        <v>20</v>
      </c>
      <c r="B150" s="11">
        <f>SUM(B151)</f>
        <v>400000</v>
      </c>
      <c r="C150" s="11">
        <f t="shared" ref="C150" si="344">SUM(C151)</f>
        <v>0</v>
      </c>
      <c r="D150" s="11">
        <f t="shared" ref="D150" si="345">SUM(D151)</f>
        <v>0</v>
      </c>
      <c r="E150" s="11">
        <f t="shared" ref="E150" si="346">SUM(E151)</f>
        <v>400000</v>
      </c>
      <c r="F150" s="11">
        <f t="shared" ref="F150" si="347">SUM(F151)</f>
        <v>0</v>
      </c>
      <c r="G150" s="11">
        <f t="shared" ref="G150" si="348">SUM(G151)</f>
        <v>0</v>
      </c>
      <c r="H150" s="11">
        <f t="shared" ref="H150" si="349">SUM(H151)</f>
        <v>0</v>
      </c>
      <c r="I150" s="11">
        <f t="shared" ref="I150" si="350">SUM(I151)</f>
        <v>0</v>
      </c>
      <c r="J150" s="11">
        <f t="shared" ref="J150" si="351">SUM(J151)</f>
        <v>0</v>
      </c>
      <c r="K150" s="11">
        <f t="shared" ref="K150" si="352">SUM(K151)</f>
        <v>0</v>
      </c>
      <c r="L150" s="11">
        <f t="shared" ref="L150" si="353">SUM(L151)</f>
        <v>0</v>
      </c>
      <c r="M150" s="11">
        <f t="shared" ref="M150" si="354">SUM(M151)</f>
        <v>0</v>
      </c>
      <c r="N150" s="11">
        <f t="shared" ref="N150" si="355">SUM(N151)</f>
        <v>0</v>
      </c>
      <c r="O150" s="12">
        <f>SUM(C150:N150)</f>
        <v>400000</v>
      </c>
    </row>
    <row r="151" spans="1:15">
      <c r="A151" s="13" t="s">
        <v>21</v>
      </c>
      <c r="B151" s="14">
        <v>400000</v>
      </c>
      <c r="C151" s="14"/>
      <c r="D151" s="14"/>
      <c r="E151" s="17">
        <v>400000</v>
      </c>
      <c r="F151" s="17"/>
      <c r="G151" s="14"/>
      <c r="H151" s="179"/>
      <c r="I151" s="14"/>
      <c r="J151" s="18"/>
      <c r="K151" s="14"/>
      <c r="L151" s="14"/>
      <c r="M151" s="14"/>
      <c r="N151" s="15"/>
      <c r="O151" s="16">
        <f>SUM(C151:N151)</f>
        <v>400000</v>
      </c>
    </row>
    <row r="152" spans="1:15" ht="15.75" thickBot="1">
      <c r="A152" s="7" t="s">
        <v>22</v>
      </c>
      <c r="B152" s="8">
        <f>SUM(B148-B150)</f>
        <v>-400000</v>
      </c>
      <c r="C152" s="8">
        <f t="shared" ref="C152:N152" si="356">SUM(C148-C150)</f>
        <v>0</v>
      </c>
      <c r="D152" s="8">
        <f t="shared" si="356"/>
        <v>0</v>
      </c>
      <c r="E152" s="8">
        <f t="shared" si="356"/>
        <v>-400000</v>
      </c>
      <c r="F152" s="8">
        <f t="shared" si="356"/>
        <v>0</v>
      </c>
      <c r="G152" s="8">
        <f t="shared" si="356"/>
        <v>0</v>
      </c>
      <c r="H152" s="8">
        <f t="shared" si="356"/>
        <v>0</v>
      </c>
      <c r="I152" s="8">
        <f t="shared" si="356"/>
        <v>0</v>
      </c>
      <c r="J152" s="8">
        <f t="shared" si="356"/>
        <v>0</v>
      </c>
      <c r="K152" s="8">
        <f t="shared" si="356"/>
        <v>0</v>
      </c>
      <c r="L152" s="8">
        <f t="shared" si="356"/>
        <v>0</v>
      </c>
      <c r="M152" s="8">
        <f t="shared" si="356"/>
        <v>0</v>
      </c>
      <c r="N152" s="8">
        <f t="shared" si="356"/>
        <v>0</v>
      </c>
      <c r="O152" s="9">
        <f>SUM(C152:N152)</f>
        <v>-400000</v>
      </c>
    </row>
    <row r="153" spans="1:15" ht="15.75" thickBot="1">
      <c r="A153" s="20" t="s">
        <v>2</v>
      </c>
      <c r="B153" s="21" t="s">
        <v>3</v>
      </c>
      <c r="C153" s="21" t="s">
        <v>4</v>
      </c>
      <c r="D153" s="21" t="s">
        <v>5</v>
      </c>
      <c r="E153" s="21" t="s">
        <v>6</v>
      </c>
      <c r="F153" s="21" t="s">
        <v>7</v>
      </c>
      <c r="G153" s="21" t="s">
        <v>8</v>
      </c>
      <c r="H153" s="21" t="s">
        <v>9</v>
      </c>
      <c r="I153" s="21" t="s">
        <v>10</v>
      </c>
      <c r="J153" s="21" t="s">
        <v>11</v>
      </c>
      <c r="K153" s="21" t="s">
        <v>12</v>
      </c>
      <c r="L153" s="21" t="s">
        <v>13</v>
      </c>
      <c r="M153" s="21" t="s">
        <v>14</v>
      </c>
      <c r="N153" s="21" t="s">
        <v>15</v>
      </c>
      <c r="O153" s="23" t="s">
        <v>232</v>
      </c>
    </row>
    <row r="154" spans="1:15" ht="15.75" thickBot="1">
      <c r="A154" s="350" t="s">
        <v>16</v>
      </c>
      <c r="B154" s="351"/>
      <c r="C154" s="351"/>
      <c r="D154" s="351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24"/>
    </row>
    <row r="155" spans="1:15">
      <c r="A155" s="344" t="s">
        <v>247</v>
      </c>
      <c r="B155" s="345"/>
      <c r="C155" s="345"/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6"/>
    </row>
    <row r="156" spans="1:15" ht="15.75" thickBot="1">
      <c r="A156" s="347" t="s">
        <v>18</v>
      </c>
      <c r="B156" s="348"/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9"/>
    </row>
    <row r="157" spans="1:15">
      <c r="A157" s="25" t="s">
        <v>19</v>
      </c>
      <c r="B157" s="26">
        <f>SUM(B158)</f>
        <v>0</v>
      </c>
      <c r="C157" s="26">
        <f t="shared" ref="C157" si="357">SUM(C158)</f>
        <v>0</v>
      </c>
      <c r="D157" s="26">
        <f t="shared" ref="D157" si="358">SUM(D158)</f>
        <v>0</v>
      </c>
      <c r="E157" s="26">
        <f t="shared" ref="E157" si="359">SUM(E158)</f>
        <v>0</v>
      </c>
      <c r="F157" s="26">
        <f t="shared" ref="F157" si="360">SUM(F158)</f>
        <v>0</v>
      </c>
      <c r="G157" s="26">
        <f t="shared" ref="G157" si="361">SUM(G158)</f>
        <v>0</v>
      </c>
      <c r="H157" s="26">
        <f t="shared" ref="H157" si="362">SUM(H158)</f>
        <v>0</v>
      </c>
      <c r="I157" s="26">
        <f t="shared" ref="I157" si="363">SUM(I158)</f>
        <v>0</v>
      </c>
      <c r="J157" s="26">
        <f t="shared" ref="J157" si="364">SUM(J158)</f>
        <v>0</v>
      </c>
      <c r="K157" s="26">
        <f t="shared" ref="K157" si="365">SUM(K158)</f>
        <v>0</v>
      </c>
      <c r="L157" s="26">
        <f t="shared" ref="L157" si="366">SUM(L158)</f>
        <v>0</v>
      </c>
      <c r="M157" s="26">
        <f t="shared" ref="M157" si="367">SUM(M158)</f>
        <v>0</v>
      </c>
      <c r="N157" s="26">
        <f t="shared" ref="N157" si="368">SUM(N158)</f>
        <v>0</v>
      </c>
      <c r="O157" s="22">
        <f>SUM(C157:N157)</f>
        <v>0</v>
      </c>
    </row>
    <row r="158" spans="1:15">
      <c r="A158" s="27"/>
      <c r="B158" s="14"/>
      <c r="C158" s="14"/>
      <c r="D158" s="14"/>
      <c r="E158" s="17"/>
      <c r="F158" s="17"/>
      <c r="G158" s="14"/>
      <c r="H158" s="18"/>
      <c r="I158" s="14"/>
      <c r="J158" s="18"/>
      <c r="K158" s="14"/>
      <c r="L158" s="14"/>
      <c r="M158" s="14"/>
      <c r="N158" s="19"/>
      <c r="O158" s="16">
        <f>SUM(C158:N158)</f>
        <v>0</v>
      </c>
    </row>
    <row r="159" spans="1:15">
      <c r="A159" s="10" t="s">
        <v>20</v>
      </c>
      <c r="B159" s="11">
        <f>SUM(B160)</f>
        <v>25795</v>
      </c>
      <c r="C159" s="11">
        <f t="shared" ref="C159" si="369">SUM(C160)</f>
        <v>0</v>
      </c>
      <c r="D159" s="11">
        <f t="shared" ref="D159" si="370">SUM(D160)</f>
        <v>25795</v>
      </c>
      <c r="E159" s="11">
        <f t="shared" ref="E159" si="371">SUM(E160)</f>
        <v>0</v>
      </c>
      <c r="F159" s="11">
        <f t="shared" ref="F159" si="372">SUM(F160)</f>
        <v>0</v>
      </c>
      <c r="G159" s="11">
        <f t="shared" ref="G159" si="373">SUM(G160)</f>
        <v>0</v>
      </c>
      <c r="H159" s="11">
        <f t="shared" ref="H159" si="374">SUM(H160)</f>
        <v>0</v>
      </c>
      <c r="I159" s="11">
        <f t="shared" ref="I159" si="375">SUM(I160)</f>
        <v>0</v>
      </c>
      <c r="J159" s="11">
        <f t="shared" ref="J159" si="376">SUM(J160)</f>
        <v>0</v>
      </c>
      <c r="K159" s="11">
        <f t="shared" ref="K159" si="377">SUM(K160)</f>
        <v>0</v>
      </c>
      <c r="L159" s="11">
        <f t="shared" ref="L159" si="378">SUM(L160)</f>
        <v>0</v>
      </c>
      <c r="M159" s="11">
        <f t="shared" ref="M159" si="379">SUM(M160)</f>
        <v>0</v>
      </c>
      <c r="N159" s="11">
        <f t="shared" ref="N159" si="380">SUM(N160)</f>
        <v>0</v>
      </c>
      <c r="O159" s="12">
        <f>SUM(C159:N159)</f>
        <v>25795</v>
      </c>
    </row>
    <row r="160" spans="1:15">
      <c r="A160" s="13" t="s">
        <v>21</v>
      </c>
      <c r="B160" s="14">
        <v>25795</v>
      </c>
      <c r="C160" s="14"/>
      <c r="D160" s="14">
        <v>25795</v>
      </c>
      <c r="E160" s="17"/>
      <c r="F160" s="17"/>
      <c r="G160" s="14"/>
      <c r="H160" s="18"/>
      <c r="I160" s="14"/>
      <c r="J160" s="18"/>
      <c r="K160" s="14"/>
      <c r="L160" s="14"/>
      <c r="M160" s="14"/>
      <c r="N160" s="15"/>
      <c r="O160" s="16">
        <f>SUM(C160:N160)</f>
        <v>25795</v>
      </c>
    </row>
    <row r="161" spans="1:15" ht="15.75" thickBot="1">
      <c r="A161" s="7" t="s">
        <v>22</v>
      </c>
      <c r="B161" s="8">
        <f>SUM(B157-B159)</f>
        <v>-25795</v>
      </c>
      <c r="C161" s="8">
        <f t="shared" ref="C161:N161" si="381">SUM(C157-C159)</f>
        <v>0</v>
      </c>
      <c r="D161" s="8">
        <f t="shared" si="381"/>
        <v>-25795</v>
      </c>
      <c r="E161" s="8">
        <f t="shared" si="381"/>
        <v>0</v>
      </c>
      <c r="F161" s="8">
        <f t="shared" si="381"/>
        <v>0</v>
      </c>
      <c r="G161" s="8">
        <f t="shared" si="381"/>
        <v>0</v>
      </c>
      <c r="H161" s="8">
        <f t="shared" si="381"/>
        <v>0</v>
      </c>
      <c r="I161" s="8">
        <f t="shared" si="381"/>
        <v>0</v>
      </c>
      <c r="J161" s="8">
        <f t="shared" si="381"/>
        <v>0</v>
      </c>
      <c r="K161" s="8">
        <f t="shared" si="381"/>
        <v>0</v>
      </c>
      <c r="L161" s="8">
        <f t="shared" si="381"/>
        <v>0</v>
      </c>
      <c r="M161" s="8">
        <f t="shared" si="381"/>
        <v>0</v>
      </c>
      <c r="N161" s="8">
        <f t="shared" si="381"/>
        <v>0</v>
      </c>
      <c r="O161" s="9">
        <f>SUM(C161:N161)</f>
        <v>-25795</v>
      </c>
    </row>
    <row r="162" spans="1:15" ht="15.75" thickBot="1">
      <c r="A162" s="20" t="s">
        <v>2</v>
      </c>
      <c r="B162" s="21" t="s">
        <v>3</v>
      </c>
      <c r="C162" s="21" t="s">
        <v>4</v>
      </c>
      <c r="D162" s="21" t="s">
        <v>5</v>
      </c>
      <c r="E162" s="21" t="s">
        <v>6</v>
      </c>
      <c r="F162" s="21" t="s">
        <v>7</v>
      </c>
      <c r="G162" s="21" t="s">
        <v>8</v>
      </c>
      <c r="H162" s="21" t="s">
        <v>9</v>
      </c>
      <c r="I162" s="21" t="s">
        <v>10</v>
      </c>
      <c r="J162" s="21" t="s">
        <v>11</v>
      </c>
      <c r="K162" s="21" t="s">
        <v>12</v>
      </c>
      <c r="L162" s="21" t="s">
        <v>13</v>
      </c>
      <c r="M162" s="21" t="s">
        <v>14</v>
      </c>
      <c r="N162" s="21" t="s">
        <v>15</v>
      </c>
      <c r="O162" s="23" t="s">
        <v>232</v>
      </c>
    </row>
    <row r="163" spans="1:15" ht="15.75" thickBot="1">
      <c r="A163" s="350" t="s">
        <v>16</v>
      </c>
      <c r="B163" s="351"/>
      <c r="C163" s="351"/>
      <c r="D163" s="351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24"/>
    </row>
    <row r="164" spans="1:15" ht="24.95" customHeight="1">
      <c r="A164" s="344" t="s">
        <v>248</v>
      </c>
      <c r="B164" s="345"/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6"/>
    </row>
    <row r="165" spans="1:15" ht="15.75" thickBot="1">
      <c r="A165" s="347" t="s">
        <v>18</v>
      </c>
      <c r="B165" s="348"/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9"/>
    </row>
    <row r="166" spans="1:15" ht="24.95" customHeight="1">
      <c r="A166" s="25" t="s">
        <v>19</v>
      </c>
      <c r="B166" s="26">
        <f>SUM(B167)</f>
        <v>0</v>
      </c>
      <c r="C166" s="26">
        <f t="shared" ref="C166" si="382">SUM(C167)</f>
        <v>0</v>
      </c>
      <c r="D166" s="26">
        <f t="shared" ref="D166" si="383">SUM(D167)</f>
        <v>0</v>
      </c>
      <c r="E166" s="26">
        <f t="shared" ref="E166" si="384">SUM(E167)</f>
        <v>0</v>
      </c>
      <c r="F166" s="26">
        <f t="shared" ref="F166" si="385">SUM(F167)</f>
        <v>0</v>
      </c>
      <c r="G166" s="26">
        <f t="shared" ref="G166" si="386">SUM(G167)</f>
        <v>0</v>
      </c>
      <c r="H166" s="26">
        <f t="shared" ref="H166" si="387">SUM(H167)</f>
        <v>0</v>
      </c>
      <c r="I166" s="26">
        <f t="shared" ref="I166" si="388">SUM(I167)</f>
        <v>0</v>
      </c>
      <c r="J166" s="26">
        <f t="shared" ref="J166" si="389">SUM(J167)</f>
        <v>0</v>
      </c>
      <c r="K166" s="26">
        <f t="shared" ref="K166" si="390">SUM(K167)</f>
        <v>0</v>
      </c>
      <c r="L166" s="26">
        <f t="shared" ref="L166" si="391">SUM(L167)</f>
        <v>0</v>
      </c>
      <c r="M166" s="26">
        <f t="shared" ref="M166" si="392">SUM(M167)</f>
        <v>0</v>
      </c>
      <c r="N166" s="26">
        <f t="shared" ref="N166" si="393">SUM(N167)</f>
        <v>0</v>
      </c>
      <c r="O166" s="22">
        <f>SUM(C166:N166)</f>
        <v>0</v>
      </c>
    </row>
    <row r="167" spans="1:15" ht="15.75" customHeight="1">
      <c r="A167" s="27"/>
      <c r="B167" s="14"/>
      <c r="C167" s="14"/>
      <c r="D167" s="14"/>
      <c r="E167" s="17"/>
      <c r="F167" s="17"/>
      <c r="G167" s="14"/>
      <c r="H167" s="18"/>
      <c r="I167" s="14"/>
      <c r="J167" s="18"/>
      <c r="K167" s="14"/>
      <c r="L167" s="14"/>
      <c r="M167" s="14"/>
      <c r="N167" s="19"/>
      <c r="O167" s="16">
        <f>SUM(C167:N167)</f>
        <v>0</v>
      </c>
    </row>
    <row r="168" spans="1:15" ht="15.75" customHeight="1">
      <c r="A168" s="10" t="s">
        <v>20</v>
      </c>
      <c r="B168" s="11">
        <f>SUM(B169)</f>
        <v>5410</v>
      </c>
      <c r="C168" s="11">
        <f t="shared" ref="C168" si="394">SUM(C169)</f>
        <v>0</v>
      </c>
      <c r="D168" s="11">
        <f t="shared" ref="D168" si="395">SUM(D169)</f>
        <v>5410</v>
      </c>
      <c r="E168" s="11">
        <f t="shared" ref="E168" si="396">SUM(E169)</f>
        <v>0</v>
      </c>
      <c r="F168" s="11">
        <f t="shared" ref="F168" si="397">SUM(F169)</f>
        <v>0</v>
      </c>
      <c r="G168" s="11">
        <f t="shared" ref="G168" si="398">SUM(G169)</f>
        <v>0</v>
      </c>
      <c r="H168" s="11">
        <f t="shared" ref="H168" si="399">SUM(H169)</f>
        <v>0</v>
      </c>
      <c r="I168" s="11">
        <f t="shared" ref="I168" si="400">SUM(I169)</f>
        <v>0</v>
      </c>
      <c r="J168" s="11">
        <f t="shared" ref="J168" si="401">SUM(J169)</f>
        <v>0</v>
      </c>
      <c r="K168" s="11">
        <f t="shared" ref="K168" si="402">SUM(K169)</f>
        <v>0</v>
      </c>
      <c r="L168" s="11">
        <f t="shared" ref="L168" si="403">SUM(L169)</f>
        <v>0</v>
      </c>
      <c r="M168" s="11">
        <f t="shared" ref="M168" si="404">SUM(M169)</f>
        <v>0</v>
      </c>
      <c r="N168" s="11">
        <f t="shared" ref="N168" si="405">SUM(N169)</f>
        <v>0</v>
      </c>
      <c r="O168" s="12">
        <f>SUM(C168:N168)</f>
        <v>5410</v>
      </c>
    </row>
    <row r="169" spans="1:15">
      <c r="A169" s="13" t="s">
        <v>21</v>
      </c>
      <c r="B169" s="14">
        <v>5410</v>
      </c>
      <c r="C169" s="14"/>
      <c r="D169" s="14">
        <v>5410</v>
      </c>
      <c r="E169" s="17"/>
      <c r="F169" s="17"/>
      <c r="G169" s="14"/>
      <c r="H169" s="18"/>
      <c r="I169" s="14"/>
      <c r="J169" s="18"/>
      <c r="K169" s="14"/>
      <c r="L169" s="14"/>
      <c r="M169" s="14"/>
      <c r="N169" s="15"/>
      <c r="O169" s="16">
        <f>SUM(C169:N169)</f>
        <v>5410</v>
      </c>
    </row>
    <row r="170" spans="1:15" ht="15.75" thickBot="1">
      <c r="A170" s="7" t="s">
        <v>22</v>
      </c>
      <c r="B170" s="8">
        <f>SUM(B166-B168)</f>
        <v>-5410</v>
      </c>
      <c r="C170" s="8">
        <f t="shared" ref="C170:N170" si="406">SUM(C166-C168)</f>
        <v>0</v>
      </c>
      <c r="D170" s="8">
        <f t="shared" si="406"/>
        <v>-5410</v>
      </c>
      <c r="E170" s="8">
        <f t="shared" si="406"/>
        <v>0</v>
      </c>
      <c r="F170" s="8">
        <f t="shared" si="406"/>
        <v>0</v>
      </c>
      <c r="G170" s="8">
        <f t="shared" si="406"/>
        <v>0</v>
      </c>
      <c r="H170" s="8">
        <f t="shared" si="406"/>
        <v>0</v>
      </c>
      <c r="I170" s="8">
        <f t="shared" si="406"/>
        <v>0</v>
      </c>
      <c r="J170" s="8">
        <f t="shared" si="406"/>
        <v>0</v>
      </c>
      <c r="K170" s="8">
        <f t="shared" si="406"/>
        <v>0</v>
      </c>
      <c r="L170" s="8">
        <f t="shared" si="406"/>
        <v>0</v>
      </c>
      <c r="M170" s="8">
        <f t="shared" si="406"/>
        <v>0</v>
      </c>
      <c r="N170" s="8">
        <f t="shared" si="406"/>
        <v>0</v>
      </c>
      <c r="O170" s="9">
        <f>SUM(C170:N170)</f>
        <v>-5410</v>
      </c>
    </row>
    <row r="171" spans="1:15" ht="15.75" thickBot="1">
      <c r="A171" s="20" t="s">
        <v>2</v>
      </c>
      <c r="B171" s="21" t="s">
        <v>3</v>
      </c>
      <c r="C171" s="21" t="s">
        <v>4</v>
      </c>
      <c r="D171" s="21" t="s">
        <v>5</v>
      </c>
      <c r="E171" s="21" t="s">
        <v>6</v>
      </c>
      <c r="F171" s="21" t="s">
        <v>7</v>
      </c>
      <c r="G171" s="21" t="s">
        <v>8</v>
      </c>
      <c r="H171" s="21" t="s">
        <v>9</v>
      </c>
      <c r="I171" s="21" t="s">
        <v>10</v>
      </c>
      <c r="J171" s="21" t="s">
        <v>11</v>
      </c>
      <c r="K171" s="21" t="s">
        <v>12</v>
      </c>
      <c r="L171" s="21" t="s">
        <v>13</v>
      </c>
      <c r="M171" s="21" t="s">
        <v>14</v>
      </c>
      <c r="N171" s="21" t="s">
        <v>15</v>
      </c>
      <c r="O171" s="23" t="s">
        <v>232</v>
      </c>
    </row>
    <row r="172" spans="1:15" ht="15.75" thickBot="1">
      <c r="A172" s="350" t="s">
        <v>16</v>
      </c>
      <c r="B172" s="351"/>
      <c r="C172" s="351"/>
      <c r="D172" s="351"/>
      <c r="E172" s="352"/>
      <c r="F172" s="352"/>
      <c r="G172" s="352"/>
      <c r="H172" s="352"/>
      <c r="I172" s="352"/>
      <c r="J172" s="352"/>
      <c r="K172" s="352"/>
      <c r="L172" s="352"/>
      <c r="M172" s="352"/>
      <c r="N172" s="352"/>
      <c r="O172" s="24"/>
    </row>
    <row r="173" spans="1:15">
      <c r="A173" s="344" t="s">
        <v>249</v>
      </c>
      <c r="B173" s="345"/>
      <c r="C173" s="345"/>
      <c r="D173" s="345"/>
      <c r="E173" s="345"/>
      <c r="F173" s="345"/>
      <c r="G173" s="345"/>
      <c r="H173" s="345"/>
      <c r="I173" s="345"/>
      <c r="J173" s="345"/>
      <c r="K173" s="345"/>
      <c r="L173" s="345"/>
      <c r="M173" s="345"/>
      <c r="N173" s="345"/>
      <c r="O173" s="346"/>
    </row>
    <row r="174" spans="1:15" ht="15.75" thickBot="1">
      <c r="A174" s="347" t="s">
        <v>250</v>
      </c>
      <c r="B174" s="348"/>
      <c r="C174" s="348"/>
      <c r="D174" s="348"/>
      <c r="E174" s="348"/>
      <c r="F174" s="348"/>
      <c r="G174" s="348"/>
      <c r="H174" s="348"/>
      <c r="I174" s="348"/>
      <c r="J174" s="348"/>
      <c r="K174" s="348"/>
      <c r="L174" s="348"/>
      <c r="M174" s="348"/>
      <c r="N174" s="348"/>
      <c r="O174" s="349"/>
    </row>
    <row r="175" spans="1:15">
      <c r="A175" s="25" t="s">
        <v>19</v>
      </c>
      <c r="B175" s="26">
        <f>SUM(B176)</f>
        <v>0</v>
      </c>
      <c r="C175" s="26">
        <f t="shared" ref="C175" si="407">SUM(C176)</f>
        <v>0</v>
      </c>
      <c r="D175" s="26">
        <f t="shared" ref="D175" si="408">SUM(D176)</f>
        <v>0</v>
      </c>
      <c r="E175" s="26">
        <f t="shared" ref="E175" si="409">SUM(E176)</f>
        <v>0</v>
      </c>
      <c r="F175" s="26">
        <f t="shared" ref="F175" si="410">SUM(F176)</f>
        <v>0</v>
      </c>
      <c r="G175" s="26">
        <f t="shared" ref="G175" si="411">SUM(G176)</f>
        <v>0</v>
      </c>
      <c r="H175" s="26">
        <f t="shared" ref="H175" si="412">SUM(H176)</f>
        <v>0</v>
      </c>
      <c r="I175" s="26">
        <f t="shared" ref="I175" si="413">SUM(I176)</f>
        <v>0</v>
      </c>
      <c r="J175" s="26">
        <f t="shared" ref="J175" si="414">SUM(J176)</f>
        <v>0</v>
      </c>
      <c r="K175" s="26">
        <f t="shared" ref="K175" si="415">SUM(K176)</f>
        <v>0</v>
      </c>
      <c r="L175" s="26">
        <f t="shared" ref="L175" si="416">SUM(L176)</f>
        <v>0</v>
      </c>
      <c r="M175" s="26">
        <f t="shared" ref="M175" si="417">SUM(M176)</f>
        <v>0</v>
      </c>
      <c r="N175" s="26">
        <f t="shared" ref="N175" si="418">SUM(N176)</f>
        <v>0</v>
      </c>
      <c r="O175" s="22">
        <f>SUM(C175:N175)</f>
        <v>0</v>
      </c>
    </row>
    <row r="176" spans="1:15">
      <c r="A176" s="27"/>
      <c r="B176" s="14"/>
      <c r="C176" s="14"/>
      <c r="D176" s="14"/>
      <c r="E176" s="17"/>
      <c r="F176" s="17"/>
      <c r="G176" s="14"/>
      <c r="H176" s="18"/>
      <c r="I176" s="14"/>
      <c r="J176" s="18"/>
      <c r="K176" s="14"/>
      <c r="L176" s="14"/>
      <c r="M176" s="14"/>
      <c r="N176" s="19"/>
      <c r="O176" s="16">
        <f>SUM(C176:N176)</f>
        <v>0</v>
      </c>
    </row>
    <row r="177" spans="1:15">
      <c r="A177" s="10" t="s">
        <v>20</v>
      </c>
      <c r="B177" s="11">
        <f>SUM(B178)</f>
        <v>15000</v>
      </c>
      <c r="C177" s="11">
        <f t="shared" ref="C177" si="419">SUM(C178)</f>
        <v>0</v>
      </c>
      <c r="D177" s="11">
        <f t="shared" ref="D177" si="420">SUM(D178)</f>
        <v>0</v>
      </c>
      <c r="E177" s="11">
        <f t="shared" ref="E177" si="421">SUM(E178)</f>
        <v>15000</v>
      </c>
      <c r="F177" s="11">
        <f t="shared" ref="F177" si="422">SUM(F178)</f>
        <v>0</v>
      </c>
      <c r="G177" s="11">
        <f t="shared" ref="G177" si="423">SUM(G178)</f>
        <v>0</v>
      </c>
      <c r="H177" s="11">
        <f t="shared" ref="H177" si="424">SUM(H178)</f>
        <v>0</v>
      </c>
      <c r="I177" s="11">
        <f t="shared" ref="I177" si="425">SUM(I178)</f>
        <v>0</v>
      </c>
      <c r="J177" s="11">
        <f t="shared" ref="J177" si="426">SUM(J178)</f>
        <v>0</v>
      </c>
      <c r="K177" s="11">
        <f t="shared" ref="K177" si="427">SUM(K178)</f>
        <v>0</v>
      </c>
      <c r="L177" s="11">
        <f t="shared" ref="L177" si="428">SUM(L178)</f>
        <v>0</v>
      </c>
      <c r="M177" s="11">
        <f t="shared" ref="M177" si="429">SUM(M178)</f>
        <v>0</v>
      </c>
      <c r="N177" s="11">
        <f t="shared" ref="N177" si="430">SUM(N178)</f>
        <v>0</v>
      </c>
      <c r="O177" s="12">
        <f>SUM(C177:N177)</f>
        <v>15000</v>
      </c>
    </row>
    <row r="178" spans="1:15">
      <c r="A178" s="13" t="s">
        <v>21</v>
      </c>
      <c r="B178" s="14">
        <v>15000</v>
      </c>
      <c r="C178" s="14"/>
      <c r="D178" s="14"/>
      <c r="E178" s="17">
        <v>15000</v>
      </c>
      <c r="F178" s="17"/>
      <c r="G178" s="14"/>
      <c r="H178" s="18"/>
      <c r="I178" s="14"/>
      <c r="J178" s="18"/>
      <c r="K178" s="14"/>
      <c r="L178" s="14"/>
      <c r="M178" s="14"/>
      <c r="N178" s="15"/>
      <c r="O178" s="16">
        <f>SUM(C178:N178)</f>
        <v>15000</v>
      </c>
    </row>
    <row r="179" spans="1:15" ht="15.75" thickBot="1">
      <c r="A179" s="7" t="s">
        <v>22</v>
      </c>
      <c r="B179" s="8">
        <f>SUM(B175-B177)</f>
        <v>-15000</v>
      </c>
      <c r="C179" s="8">
        <f t="shared" ref="C179:N179" si="431">SUM(C175-C177)</f>
        <v>0</v>
      </c>
      <c r="D179" s="8">
        <f t="shared" si="431"/>
        <v>0</v>
      </c>
      <c r="E179" s="8">
        <f t="shared" si="431"/>
        <v>-15000</v>
      </c>
      <c r="F179" s="8">
        <f t="shared" si="431"/>
        <v>0</v>
      </c>
      <c r="G179" s="8">
        <f t="shared" si="431"/>
        <v>0</v>
      </c>
      <c r="H179" s="8">
        <f t="shared" si="431"/>
        <v>0</v>
      </c>
      <c r="I179" s="8">
        <f t="shared" si="431"/>
        <v>0</v>
      </c>
      <c r="J179" s="8">
        <f t="shared" si="431"/>
        <v>0</v>
      </c>
      <c r="K179" s="8">
        <f t="shared" si="431"/>
        <v>0</v>
      </c>
      <c r="L179" s="8">
        <f t="shared" si="431"/>
        <v>0</v>
      </c>
      <c r="M179" s="8">
        <f t="shared" si="431"/>
        <v>0</v>
      </c>
      <c r="N179" s="8">
        <f t="shared" si="431"/>
        <v>0</v>
      </c>
      <c r="O179" s="9">
        <f>SUM(C179:N179)</f>
        <v>-15000</v>
      </c>
    </row>
    <row r="180" spans="1:15" s="4" customFormat="1" ht="15.75" thickBot="1">
      <c r="A180" s="20" t="s">
        <v>2</v>
      </c>
      <c r="B180" s="21" t="s">
        <v>3</v>
      </c>
      <c r="C180" s="21" t="s">
        <v>4</v>
      </c>
      <c r="D180" s="21" t="s">
        <v>5</v>
      </c>
      <c r="E180" s="21" t="s">
        <v>6</v>
      </c>
      <c r="F180" s="21" t="s">
        <v>7</v>
      </c>
      <c r="G180" s="21" t="s">
        <v>8</v>
      </c>
      <c r="H180" s="21" t="s">
        <v>9</v>
      </c>
      <c r="I180" s="21" t="s">
        <v>10</v>
      </c>
      <c r="J180" s="21" t="s">
        <v>11</v>
      </c>
      <c r="K180" s="21" t="s">
        <v>12</v>
      </c>
      <c r="L180" s="21" t="s">
        <v>13</v>
      </c>
      <c r="M180" s="21" t="s">
        <v>14</v>
      </c>
      <c r="N180" s="21" t="s">
        <v>15</v>
      </c>
      <c r="O180" s="23" t="s">
        <v>232</v>
      </c>
    </row>
    <row r="181" spans="1:15" s="4" customFormat="1" ht="15.75" thickBot="1">
      <c r="A181" s="350" t="s">
        <v>16</v>
      </c>
      <c r="B181" s="351"/>
      <c r="C181" s="351"/>
      <c r="D181" s="351"/>
      <c r="E181" s="352"/>
      <c r="F181" s="352"/>
      <c r="G181" s="352"/>
      <c r="H181" s="352"/>
      <c r="I181" s="352"/>
      <c r="J181" s="352"/>
      <c r="K181" s="352"/>
      <c r="L181" s="352"/>
      <c r="M181" s="352"/>
      <c r="N181" s="352"/>
      <c r="O181" s="24"/>
    </row>
    <row r="182" spans="1:15" s="4" customFormat="1">
      <c r="A182" s="344" t="s">
        <v>17</v>
      </c>
      <c r="B182" s="345"/>
      <c r="C182" s="345"/>
      <c r="D182" s="345"/>
      <c r="E182" s="345"/>
      <c r="F182" s="345"/>
      <c r="G182" s="345"/>
      <c r="H182" s="345"/>
      <c r="I182" s="345"/>
      <c r="J182" s="345"/>
      <c r="K182" s="345"/>
      <c r="L182" s="345"/>
      <c r="M182" s="345"/>
      <c r="N182" s="345"/>
      <c r="O182" s="346"/>
    </row>
    <row r="183" spans="1:15" s="4" customFormat="1" ht="15.75" thickBot="1">
      <c r="A183" s="347" t="s">
        <v>18</v>
      </c>
      <c r="B183" s="348"/>
      <c r="C183" s="348"/>
      <c r="D183" s="348"/>
      <c r="E183" s="348"/>
      <c r="F183" s="348"/>
      <c r="G183" s="348"/>
      <c r="H183" s="348"/>
      <c r="I183" s="348"/>
      <c r="J183" s="348"/>
      <c r="K183" s="348"/>
      <c r="L183" s="348"/>
      <c r="M183" s="348"/>
      <c r="N183" s="348"/>
      <c r="O183" s="349"/>
    </row>
    <row r="184" spans="1:15" s="4" customFormat="1">
      <c r="A184" s="25" t="s">
        <v>19</v>
      </c>
      <c r="B184" s="26">
        <f>SUM(B185)</f>
        <v>3465869</v>
      </c>
      <c r="C184" s="26">
        <f t="shared" ref="C184:N184" si="432">SUM(C185)</f>
        <v>0</v>
      </c>
      <c r="D184" s="26">
        <f t="shared" si="432"/>
        <v>0</v>
      </c>
      <c r="E184" s="26">
        <f t="shared" si="432"/>
        <v>0</v>
      </c>
      <c r="F184" s="26">
        <f t="shared" si="432"/>
        <v>0</v>
      </c>
      <c r="G184" s="26">
        <f t="shared" si="432"/>
        <v>0</v>
      </c>
      <c r="H184" s="26">
        <f t="shared" si="432"/>
        <v>10366</v>
      </c>
      <c r="I184" s="26">
        <f t="shared" si="432"/>
        <v>895761</v>
      </c>
      <c r="J184" s="26">
        <f t="shared" si="432"/>
        <v>0</v>
      </c>
      <c r="K184" s="26">
        <f t="shared" si="432"/>
        <v>0</v>
      </c>
      <c r="L184" s="26">
        <f t="shared" si="432"/>
        <v>0</v>
      </c>
      <c r="M184" s="26">
        <f t="shared" si="432"/>
        <v>0</v>
      </c>
      <c r="N184" s="26">
        <f t="shared" si="432"/>
        <v>2559742</v>
      </c>
      <c r="O184" s="22">
        <f>SUM(C184:N184)</f>
        <v>3465869</v>
      </c>
    </row>
    <row r="185" spans="1:15" s="4" customFormat="1">
      <c r="A185" s="27"/>
      <c r="B185" s="14">
        <v>3465869</v>
      </c>
      <c r="C185" s="14"/>
      <c r="D185" s="14"/>
      <c r="E185" s="17"/>
      <c r="F185" s="17"/>
      <c r="G185" s="14"/>
      <c r="H185" s="179">
        <v>10366</v>
      </c>
      <c r="I185" s="14">
        <v>895761</v>
      </c>
      <c r="J185" s="18"/>
      <c r="K185" s="14"/>
      <c r="L185" s="14"/>
      <c r="M185" s="14"/>
      <c r="N185" s="19">
        <f>4211113-1651371</f>
        <v>2559742</v>
      </c>
      <c r="O185" s="16">
        <f>SUM(C185:N185)</f>
        <v>3465869</v>
      </c>
    </row>
    <row r="186" spans="1:15" s="4" customFormat="1">
      <c r="A186" s="10" t="s">
        <v>20</v>
      </c>
      <c r="B186" s="11">
        <f>SUM(B187)</f>
        <v>7004490</v>
      </c>
      <c r="C186" s="11">
        <f t="shared" ref="C186:N186" si="433">SUM(C187)</f>
        <v>0</v>
      </c>
      <c r="D186" s="11">
        <f t="shared" si="433"/>
        <v>0</v>
      </c>
      <c r="E186" s="11">
        <f t="shared" si="433"/>
        <v>15000</v>
      </c>
      <c r="F186" s="11">
        <f t="shared" si="433"/>
        <v>0</v>
      </c>
      <c r="G186" s="11">
        <f t="shared" si="433"/>
        <v>0</v>
      </c>
      <c r="H186" s="11">
        <f t="shared" si="433"/>
        <v>0</v>
      </c>
      <c r="I186" s="11">
        <f t="shared" si="433"/>
        <v>1854086</v>
      </c>
      <c r="J186" s="11">
        <f t="shared" si="433"/>
        <v>0</v>
      </c>
      <c r="K186" s="11">
        <f t="shared" si="433"/>
        <v>0</v>
      </c>
      <c r="L186" s="11">
        <f t="shared" si="433"/>
        <v>0</v>
      </c>
      <c r="M186" s="11">
        <f t="shared" si="433"/>
        <v>0</v>
      </c>
      <c r="N186" s="11">
        <f t="shared" si="433"/>
        <v>5135404</v>
      </c>
      <c r="O186" s="12">
        <f>SUM(C186:N186)</f>
        <v>7004490</v>
      </c>
    </row>
    <row r="187" spans="1:15" s="4" customFormat="1">
      <c r="A187" s="13" t="s">
        <v>21</v>
      </c>
      <c r="B187" s="14">
        <v>7004490</v>
      </c>
      <c r="C187" s="14"/>
      <c r="D187" s="14"/>
      <c r="E187" s="17">
        <v>15000</v>
      </c>
      <c r="F187" s="17"/>
      <c r="G187" s="14"/>
      <c r="H187" s="18"/>
      <c r="I187" s="14">
        <v>1854086</v>
      </c>
      <c r="J187" s="18"/>
      <c r="K187" s="14"/>
      <c r="L187" s="14"/>
      <c r="M187" s="14"/>
      <c r="N187" s="15">
        <f>4856846+278558</f>
        <v>5135404</v>
      </c>
      <c r="O187" s="16">
        <f>SUM(C187:N187)</f>
        <v>7004490</v>
      </c>
    </row>
    <row r="188" spans="1:15" s="4" customFormat="1" ht="15.75" thickBot="1">
      <c r="A188" s="7" t="s">
        <v>22</v>
      </c>
      <c r="B188" s="8">
        <f>SUM(B184-B186)</f>
        <v>-3538621</v>
      </c>
      <c r="C188" s="8">
        <f t="shared" ref="C188:N188" si="434">SUM(C184-C186)</f>
        <v>0</v>
      </c>
      <c r="D188" s="8">
        <f t="shared" si="434"/>
        <v>0</v>
      </c>
      <c r="E188" s="8">
        <f t="shared" si="434"/>
        <v>-15000</v>
      </c>
      <c r="F188" s="8">
        <f t="shared" si="434"/>
        <v>0</v>
      </c>
      <c r="G188" s="8">
        <f t="shared" si="434"/>
        <v>0</v>
      </c>
      <c r="H188" s="8">
        <f t="shared" si="434"/>
        <v>10366</v>
      </c>
      <c r="I188" s="8">
        <f t="shared" si="434"/>
        <v>-958325</v>
      </c>
      <c r="J188" s="8">
        <f t="shared" si="434"/>
        <v>0</v>
      </c>
      <c r="K188" s="8">
        <f t="shared" si="434"/>
        <v>0</v>
      </c>
      <c r="L188" s="8">
        <f t="shared" si="434"/>
        <v>0</v>
      </c>
      <c r="M188" s="8">
        <f t="shared" si="434"/>
        <v>0</v>
      </c>
      <c r="N188" s="8">
        <f t="shared" si="434"/>
        <v>-2575662</v>
      </c>
      <c r="O188" s="9">
        <f>SUM(C188:N188)</f>
        <v>-3538621</v>
      </c>
    </row>
    <row r="189" spans="1:15" ht="15.75" thickBot="1">
      <c r="A189" s="20" t="s">
        <v>2</v>
      </c>
      <c r="B189" s="21" t="s">
        <v>3</v>
      </c>
      <c r="C189" s="21" t="s">
        <v>4</v>
      </c>
      <c r="D189" s="21" t="s">
        <v>5</v>
      </c>
      <c r="E189" s="21" t="s">
        <v>6</v>
      </c>
      <c r="F189" s="21" t="s">
        <v>7</v>
      </c>
      <c r="G189" s="21" t="s">
        <v>8</v>
      </c>
      <c r="H189" s="21" t="s">
        <v>9</v>
      </c>
      <c r="I189" s="21" t="s">
        <v>10</v>
      </c>
      <c r="J189" s="21" t="s">
        <v>11</v>
      </c>
      <c r="K189" s="21" t="s">
        <v>12</v>
      </c>
      <c r="L189" s="21" t="s">
        <v>13</v>
      </c>
      <c r="M189" s="21" t="s">
        <v>14</v>
      </c>
      <c r="N189" s="21" t="s">
        <v>15</v>
      </c>
      <c r="O189" s="23" t="s">
        <v>232</v>
      </c>
    </row>
    <row r="190" spans="1:15" ht="15.75" thickBot="1">
      <c r="A190" s="350" t="s">
        <v>16</v>
      </c>
      <c r="B190" s="351"/>
      <c r="C190" s="351"/>
      <c r="D190" s="351"/>
      <c r="E190" s="352"/>
      <c r="F190" s="352"/>
      <c r="G190" s="352"/>
      <c r="H190" s="352"/>
      <c r="I190" s="352"/>
      <c r="J190" s="352"/>
      <c r="K190" s="352"/>
      <c r="L190" s="352"/>
      <c r="M190" s="352"/>
      <c r="N190" s="352"/>
      <c r="O190" s="24"/>
    </row>
    <row r="191" spans="1:15" ht="24.75" customHeight="1">
      <c r="A191" s="344" t="s">
        <v>251</v>
      </c>
      <c r="B191" s="345"/>
      <c r="C191" s="345"/>
      <c r="D191" s="345"/>
      <c r="E191" s="345"/>
      <c r="F191" s="345"/>
      <c r="G191" s="345"/>
      <c r="H191" s="345"/>
      <c r="I191" s="345"/>
      <c r="J191" s="345"/>
      <c r="K191" s="345"/>
      <c r="L191" s="345"/>
      <c r="M191" s="345"/>
      <c r="N191" s="345"/>
      <c r="O191" s="346"/>
    </row>
    <row r="192" spans="1:15" ht="15.75" thickBot="1">
      <c r="A192" s="347" t="s">
        <v>18</v>
      </c>
      <c r="B192" s="348"/>
      <c r="C192" s="348"/>
      <c r="D192" s="348"/>
      <c r="E192" s="348"/>
      <c r="F192" s="348"/>
      <c r="G192" s="348"/>
      <c r="H192" s="348"/>
      <c r="I192" s="348"/>
      <c r="J192" s="348"/>
      <c r="K192" s="348"/>
      <c r="L192" s="348"/>
      <c r="M192" s="348"/>
      <c r="N192" s="348"/>
      <c r="O192" s="349"/>
    </row>
    <row r="193" spans="1:16">
      <c r="A193" s="25" t="s">
        <v>19</v>
      </c>
      <c r="B193" s="26">
        <f>SUM(B194)</f>
        <v>278100</v>
      </c>
      <c r="C193" s="26">
        <f t="shared" ref="C193" si="435">SUM(C194)</f>
        <v>0</v>
      </c>
      <c r="D193" s="26">
        <f t="shared" ref="D193" si="436">SUM(D194)</f>
        <v>0</v>
      </c>
      <c r="E193" s="26">
        <f t="shared" ref="E193" si="437">SUM(E194)</f>
        <v>0</v>
      </c>
      <c r="F193" s="26">
        <f t="shared" ref="F193" si="438">SUM(F194)</f>
        <v>0</v>
      </c>
      <c r="G193" s="26">
        <f t="shared" ref="G193" si="439">SUM(G194)</f>
        <v>0</v>
      </c>
      <c r="H193" s="26">
        <f t="shared" ref="H193" si="440">SUM(H194)</f>
        <v>0</v>
      </c>
      <c r="I193" s="26">
        <f t="shared" ref="I193" si="441">SUM(I194)</f>
        <v>0</v>
      </c>
      <c r="J193" s="26">
        <f t="shared" ref="J193" si="442">SUM(J194)</f>
        <v>0</v>
      </c>
      <c r="K193" s="26">
        <f t="shared" ref="K193" si="443">SUM(K194)</f>
        <v>0</v>
      </c>
      <c r="L193" s="26">
        <f t="shared" ref="L193" si="444">SUM(L194)</f>
        <v>0</v>
      </c>
      <c r="M193" s="26">
        <f t="shared" ref="M193" si="445">SUM(M194)</f>
        <v>278100</v>
      </c>
      <c r="N193" s="26">
        <f t="shared" ref="N193" si="446">SUM(N194)</f>
        <v>0</v>
      </c>
      <c r="O193" s="22">
        <f>SUM(C193:N193)</f>
        <v>278100</v>
      </c>
    </row>
    <row r="194" spans="1:16">
      <c r="A194" s="27"/>
      <c r="B194" s="14">
        <v>278100</v>
      </c>
      <c r="C194" s="14"/>
      <c r="D194" s="14"/>
      <c r="E194" s="17"/>
      <c r="F194" s="17"/>
      <c r="G194" s="14"/>
      <c r="H194" s="18"/>
      <c r="I194" s="14"/>
      <c r="J194" s="18"/>
      <c r="K194" s="14"/>
      <c r="L194" s="14"/>
      <c r="M194" s="14">
        <v>278100</v>
      </c>
      <c r="N194" s="19"/>
      <c r="O194" s="16">
        <f>SUM(C194:N194)</f>
        <v>278100</v>
      </c>
    </row>
    <row r="195" spans="1:16">
      <c r="A195" s="10" t="s">
        <v>20</v>
      </c>
      <c r="B195" s="11">
        <f>SUM(B196)</f>
        <v>571081</v>
      </c>
      <c r="C195" s="11">
        <f t="shared" ref="C195" si="447">SUM(C196)</f>
        <v>0</v>
      </c>
      <c r="D195" s="11">
        <f t="shared" ref="D195" si="448">SUM(D196)</f>
        <v>0</v>
      </c>
      <c r="E195" s="11">
        <f t="shared" ref="E195" si="449">SUM(E196)</f>
        <v>0</v>
      </c>
      <c r="F195" s="11">
        <f t="shared" ref="F195" si="450">SUM(F196)</f>
        <v>0</v>
      </c>
      <c r="G195" s="11">
        <f t="shared" ref="G195" si="451">SUM(G196)</f>
        <v>0</v>
      </c>
      <c r="H195" s="11">
        <f t="shared" ref="H195" si="452">SUM(H196)</f>
        <v>0</v>
      </c>
      <c r="I195" s="11">
        <f t="shared" ref="I195" si="453">SUM(I196)</f>
        <v>0</v>
      </c>
      <c r="J195" s="11">
        <f t="shared" ref="J195" si="454">SUM(J196)</f>
        <v>0</v>
      </c>
      <c r="K195" s="11">
        <f t="shared" ref="K195" si="455">SUM(K196)</f>
        <v>0</v>
      </c>
      <c r="L195" s="11">
        <f t="shared" ref="L195" si="456">SUM(L196)</f>
        <v>292981</v>
      </c>
      <c r="M195" s="11">
        <f t="shared" ref="M195" si="457">SUM(M196)</f>
        <v>278100</v>
      </c>
      <c r="N195" s="11">
        <f t="shared" ref="N195" si="458">SUM(N196)</f>
        <v>0</v>
      </c>
      <c r="O195" s="12">
        <f>SUM(C195:N195)</f>
        <v>571081</v>
      </c>
    </row>
    <row r="196" spans="1:16">
      <c r="A196" s="13" t="s">
        <v>21</v>
      </c>
      <c r="B196" s="14">
        <v>571081</v>
      </c>
      <c r="C196" s="14"/>
      <c r="D196" s="14"/>
      <c r="E196" s="17"/>
      <c r="F196" s="17"/>
      <c r="G196" s="14"/>
      <c r="H196" s="18"/>
      <c r="I196" s="14"/>
      <c r="J196" s="18"/>
      <c r="K196" s="14"/>
      <c r="L196" s="14">
        <v>292981</v>
      </c>
      <c r="M196" s="14">
        <v>278100</v>
      </c>
      <c r="N196" s="15"/>
      <c r="O196" s="16">
        <f>SUM(C196:N196)</f>
        <v>571081</v>
      </c>
    </row>
    <row r="197" spans="1:16" ht="15.75" thickBot="1">
      <c r="A197" s="7" t="s">
        <v>22</v>
      </c>
      <c r="B197" s="8">
        <f>SUM(B193-B195)</f>
        <v>-292981</v>
      </c>
      <c r="C197" s="8">
        <f t="shared" ref="C197:N197" si="459">SUM(C193-C195)</f>
        <v>0</v>
      </c>
      <c r="D197" s="8">
        <f t="shared" si="459"/>
        <v>0</v>
      </c>
      <c r="E197" s="8">
        <f t="shared" si="459"/>
        <v>0</v>
      </c>
      <c r="F197" s="8">
        <f t="shared" si="459"/>
        <v>0</v>
      </c>
      <c r="G197" s="8">
        <f t="shared" si="459"/>
        <v>0</v>
      </c>
      <c r="H197" s="8">
        <f t="shared" si="459"/>
        <v>0</v>
      </c>
      <c r="I197" s="8">
        <f t="shared" si="459"/>
        <v>0</v>
      </c>
      <c r="J197" s="8">
        <f t="shared" si="459"/>
        <v>0</v>
      </c>
      <c r="K197" s="8">
        <f t="shared" si="459"/>
        <v>0</v>
      </c>
      <c r="L197" s="8">
        <f t="shared" si="459"/>
        <v>-292981</v>
      </c>
      <c r="M197" s="8">
        <f t="shared" si="459"/>
        <v>0</v>
      </c>
      <c r="N197" s="8">
        <f t="shared" si="459"/>
        <v>0</v>
      </c>
      <c r="O197" s="9">
        <f>SUM(C197:N197)</f>
        <v>-292981</v>
      </c>
    </row>
    <row r="198" spans="1:16" s="4" customFormat="1" ht="15.75" thickBot="1">
      <c r="A198" s="20" t="s">
        <v>2</v>
      </c>
      <c r="B198" s="21" t="s">
        <v>3</v>
      </c>
      <c r="C198" s="21" t="s">
        <v>4</v>
      </c>
      <c r="D198" s="21" t="s">
        <v>5</v>
      </c>
      <c r="E198" s="21" t="s">
        <v>6</v>
      </c>
      <c r="F198" s="21" t="s">
        <v>7</v>
      </c>
      <c r="G198" s="21" t="s">
        <v>8</v>
      </c>
      <c r="H198" s="21" t="s">
        <v>9</v>
      </c>
      <c r="I198" s="21" t="s">
        <v>10</v>
      </c>
      <c r="J198" s="21" t="s">
        <v>11</v>
      </c>
      <c r="K198" s="21" t="s">
        <v>12</v>
      </c>
      <c r="L198" s="21" t="s">
        <v>13</v>
      </c>
      <c r="M198" s="21" t="s">
        <v>14</v>
      </c>
      <c r="N198" s="21" t="s">
        <v>15</v>
      </c>
      <c r="O198" s="23" t="s">
        <v>232</v>
      </c>
    </row>
    <row r="199" spans="1:16" s="4" customFormat="1" ht="15.75" thickBot="1">
      <c r="A199" s="350" t="s">
        <v>16</v>
      </c>
      <c r="B199" s="351"/>
      <c r="C199" s="351"/>
      <c r="D199" s="351"/>
      <c r="E199" s="352"/>
      <c r="F199" s="352"/>
      <c r="G199" s="352"/>
      <c r="H199" s="352"/>
      <c r="I199" s="352"/>
      <c r="J199" s="352"/>
      <c r="K199" s="352"/>
      <c r="L199" s="352"/>
      <c r="M199" s="352"/>
      <c r="N199" s="352"/>
      <c r="O199" s="24"/>
    </row>
    <row r="200" spans="1:16" s="4" customFormat="1">
      <c r="A200" s="344" t="s">
        <v>276</v>
      </c>
      <c r="B200" s="345"/>
      <c r="C200" s="345"/>
      <c r="D200" s="345"/>
      <c r="E200" s="345"/>
      <c r="F200" s="345"/>
      <c r="G200" s="345"/>
      <c r="H200" s="345"/>
      <c r="I200" s="345"/>
      <c r="J200" s="345"/>
      <c r="K200" s="345"/>
      <c r="L200" s="345"/>
      <c r="M200" s="345"/>
      <c r="N200" s="345"/>
      <c r="O200" s="346"/>
    </row>
    <row r="201" spans="1:16" s="4" customFormat="1" ht="15.75" thickBot="1">
      <c r="A201" s="347" t="s">
        <v>18</v>
      </c>
      <c r="B201" s="348"/>
      <c r="C201" s="348"/>
      <c r="D201" s="348"/>
      <c r="E201" s="348"/>
      <c r="F201" s="348"/>
      <c r="G201" s="348"/>
      <c r="H201" s="348"/>
      <c r="I201" s="348"/>
      <c r="J201" s="348"/>
      <c r="K201" s="348"/>
      <c r="L201" s="348"/>
      <c r="M201" s="348"/>
      <c r="N201" s="348"/>
      <c r="O201" s="349"/>
    </row>
    <row r="202" spans="1:16" s="4" customFormat="1">
      <c r="A202" s="25" t="s">
        <v>19</v>
      </c>
      <c r="B202" s="26">
        <f>SUM(B203:B207)</f>
        <v>19825043</v>
      </c>
      <c r="C202" s="26">
        <f t="shared" ref="C202:N202" si="460">SUM(C203:C207)</f>
        <v>0</v>
      </c>
      <c r="D202" s="26">
        <f t="shared" si="460"/>
        <v>0</v>
      </c>
      <c r="E202" s="26">
        <f t="shared" si="460"/>
        <v>6322720</v>
      </c>
      <c r="F202" s="26">
        <f t="shared" si="460"/>
        <v>0</v>
      </c>
      <c r="G202" s="26">
        <f t="shared" si="460"/>
        <v>0</v>
      </c>
      <c r="H202" s="26">
        <f t="shared" si="460"/>
        <v>4912657</v>
      </c>
      <c r="I202" s="26">
        <f t="shared" si="460"/>
        <v>0</v>
      </c>
      <c r="J202" s="26">
        <f t="shared" si="460"/>
        <v>0</v>
      </c>
      <c r="K202" s="26">
        <f t="shared" si="460"/>
        <v>4901341</v>
      </c>
      <c r="L202" s="26">
        <f t="shared" si="460"/>
        <v>0</v>
      </c>
      <c r="M202" s="26">
        <f t="shared" si="460"/>
        <v>0</v>
      </c>
      <c r="N202" s="26">
        <f t="shared" si="460"/>
        <v>0</v>
      </c>
      <c r="O202" s="22">
        <f>SUM(C202:N202)</f>
        <v>16136718</v>
      </c>
      <c r="P202" s="4" t="s">
        <v>252</v>
      </c>
    </row>
    <row r="203" spans="1:16" s="4" customFormat="1">
      <c r="A203" s="28" t="s">
        <v>25</v>
      </c>
      <c r="B203" s="29">
        <v>353612</v>
      </c>
      <c r="C203" s="29"/>
      <c r="D203" s="29"/>
      <c r="E203" s="29">
        <v>353612</v>
      </c>
      <c r="F203" s="29"/>
      <c r="G203" s="29"/>
      <c r="H203" s="29"/>
      <c r="I203" s="29"/>
      <c r="J203" s="29"/>
      <c r="K203" s="29"/>
      <c r="L203" s="29"/>
      <c r="M203" s="29"/>
      <c r="N203" s="30"/>
      <c r="O203" s="31">
        <f>SUM(C203:N203)</f>
        <v>353612</v>
      </c>
    </row>
    <row r="204" spans="1:16" s="4" customFormat="1">
      <c r="A204" s="28" t="s">
        <v>277</v>
      </c>
      <c r="B204" s="29">
        <v>386342</v>
      </c>
      <c r="C204" s="29"/>
      <c r="D204" s="29"/>
      <c r="E204" s="29">
        <v>386342</v>
      </c>
      <c r="F204" s="29"/>
      <c r="G204" s="29"/>
      <c r="H204" s="29"/>
      <c r="I204" s="29"/>
      <c r="J204" s="29"/>
      <c r="K204" s="29"/>
      <c r="L204" s="29"/>
      <c r="M204" s="29"/>
      <c r="N204" s="30"/>
      <c r="O204" s="31">
        <f t="shared" ref="O204:O207" si="461">SUM(C204:N204)</f>
        <v>386342</v>
      </c>
    </row>
    <row r="205" spans="1:16" s="4" customFormat="1">
      <c r="A205" s="28" t="s">
        <v>24</v>
      </c>
      <c r="B205" s="29">
        <v>579513</v>
      </c>
      <c r="C205" s="29"/>
      <c r="D205" s="29"/>
      <c r="E205" s="29">
        <v>579513</v>
      </c>
      <c r="F205" s="29"/>
      <c r="G205" s="29"/>
      <c r="H205" s="29"/>
      <c r="I205" s="29"/>
      <c r="J205" s="29"/>
      <c r="K205" s="29"/>
      <c r="L205" s="29"/>
      <c r="M205" s="29"/>
      <c r="N205" s="30"/>
      <c r="O205" s="31">
        <f t="shared" si="461"/>
        <v>579513</v>
      </c>
    </row>
    <row r="206" spans="1:16" s="4" customFormat="1" ht="15" customHeight="1">
      <c r="A206" s="27" t="s">
        <v>26</v>
      </c>
      <c r="B206" s="14">
        <v>579513</v>
      </c>
      <c r="C206" s="14"/>
      <c r="D206" s="14"/>
      <c r="E206" s="17">
        <v>579513</v>
      </c>
      <c r="F206" s="17"/>
      <c r="G206" s="14"/>
      <c r="H206" s="29"/>
      <c r="I206" s="14"/>
      <c r="J206" s="299"/>
      <c r="K206" s="14"/>
      <c r="L206" s="14"/>
      <c r="M206" s="14"/>
      <c r="N206" s="19"/>
      <c r="O206" s="31">
        <f t="shared" si="461"/>
        <v>579513</v>
      </c>
    </row>
    <row r="207" spans="1:16" s="4" customFormat="1" ht="15.75" customHeight="1">
      <c r="A207" s="27" t="s">
        <v>27</v>
      </c>
      <c r="B207" s="14">
        <v>17926063</v>
      </c>
      <c r="C207" s="14"/>
      <c r="D207" s="14"/>
      <c r="E207" s="17">
        <v>4423740</v>
      </c>
      <c r="F207" s="17"/>
      <c r="G207" s="14"/>
      <c r="H207" s="14">
        <v>4912657</v>
      </c>
      <c r="I207" s="14"/>
      <c r="J207" s="14"/>
      <c r="K207" s="14">
        <v>4901341</v>
      </c>
      <c r="L207" s="14"/>
      <c r="M207" s="14"/>
      <c r="N207" s="14"/>
      <c r="O207" s="31">
        <f t="shared" si="461"/>
        <v>14237738</v>
      </c>
    </row>
    <row r="208" spans="1:16" s="4" customFormat="1">
      <c r="A208" s="10" t="s">
        <v>20</v>
      </c>
      <c r="B208" s="11">
        <f>SUM(B209)</f>
        <v>22645247</v>
      </c>
      <c r="C208" s="11">
        <f t="shared" ref="C208:N208" si="462">SUM(C209)</f>
        <v>0</v>
      </c>
      <c r="D208" s="11">
        <f t="shared" si="462"/>
        <v>0</v>
      </c>
      <c r="E208" s="11">
        <f t="shared" si="462"/>
        <v>0</v>
      </c>
      <c r="F208" s="11">
        <f t="shared" si="462"/>
        <v>6390641</v>
      </c>
      <c r="G208" s="11">
        <f t="shared" si="462"/>
        <v>0</v>
      </c>
      <c r="H208" s="11">
        <f t="shared" si="462"/>
        <v>0</v>
      </c>
      <c r="I208" s="11">
        <f t="shared" si="462"/>
        <v>5779597</v>
      </c>
      <c r="J208" s="11">
        <f t="shared" si="462"/>
        <v>0</v>
      </c>
      <c r="K208" s="11">
        <f t="shared" si="462"/>
        <v>0</v>
      </c>
      <c r="L208" s="11">
        <f t="shared" si="462"/>
        <v>7092863</v>
      </c>
      <c r="M208" s="11">
        <f t="shared" si="462"/>
        <v>0</v>
      </c>
      <c r="N208" s="11">
        <f t="shared" si="462"/>
        <v>3382146</v>
      </c>
      <c r="O208" s="12">
        <f>SUM(C208:N208)</f>
        <v>22645247</v>
      </c>
    </row>
    <row r="209" spans="1:15" s="4" customFormat="1">
      <c r="A209" s="13" t="s">
        <v>21</v>
      </c>
      <c r="B209" s="14">
        <f>21756755+888492</f>
        <v>22645247</v>
      </c>
      <c r="C209" s="14"/>
      <c r="D209" s="14"/>
      <c r="E209" s="17"/>
      <c r="F209" s="17">
        <v>6390641</v>
      </c>
      <c r="G209" s="14"/>
      <c r="H209" s="14"/>
      <c r="I209" s="14">
        <v>5779597</v>
      </c>
      <c r="J209" s="14"/>
      <c r="K209" s="14"/>
      <c r="L209" s="14">
        <v>7092863</v>
      </c>
      <c r="M209" s="14"/>
      <c r="N209" s="14">
        <f>2493654+888492</f>
        <v>3382146</v>
      </c>
      <c r="O209" s="16">
        <f>SUM(C209:N209)</f>
        <v>22645247</v>
      </c>
    </row>
    <row r="210" spans="1:15" s="4" customFormat="1" ht="15.75" thickBot="1">
      <c r="A210" s="7" t="s">
        <v>22</v>
      </c>
      <c r="B210" s="8">
        <f>SUM(B202-B208)</f>
        <v>-2820204</v>
      </c>
      <c r="C210" s="8">
        <f t="shared" ref="C210:N210" si="463">SUM(C202-C208)</f>
        <v>0</v>
      </c>
      <c r="D210" s="8">
        <f t="shared" si="463"/>
        <v>0</v>
      </c>
      <c r="E210" s="8">
        <f t="shared" si="463"/>
        <v>6322720</v>
      </c>
      <c r="F210" s="8">
        <f t="shared" si="463"/>
        <v>-6390641</v>
      </c>
      <c r="G210" s="8">
        <f t="shared" si="463"/>
        <v>0</v>
      </c>
      <c r="H210" s="8">
        <f t="shared" si="463"/>
        <v>4912657</v>
      </c>
      <c r="I210" s="8">
        <f t="shared" si="463"/>
        <v>-5779597</v>
      </c>
      <c r="J210" s="8">
        <f t="shared" si="463"/>
        <v>0</v>
      </c>
      <c r="K210" s="8">
        <f t="shared" si="463"/>
        <v>4901341</v>
      </c>
      <c r="L210" s="8">
        <f t="shared" si="463"/>
        <v>-7092863</v>
      </c>
      <c r="M210" s="8">
        <f t="shared" si="463"/>
        <v>0</v>
      </c>
      <c r="N210" s="8">
        <f t="shared" si="463"/>
        <v>-3382146</v>
      </c>
      <c r="O210" s="9">
        <f>SUM(C210:N210)</f>
        <v>-6508529</v>
      </c>
    </row>
    <row r="211" spans="1:15" ht="15.75" thickBot="1">
      <c r="A211" s="300" t="s">
        <v>278</v>
      </c>
      <c r="B211" s="272"/>
      <c r="O211" s="123"/>
    </row>
    <row r="212" spans="1:15" s="4" customFormat="1" ht="15.75" thickBot="1">
      <c r="A212" s="20" t="s">
        <v>2</v>
      </c>
      <c r="B212" s="21" t="s">
        <v>3</v>
      </c>
      <c r="C212" s="21" t="s">
        <v>4</v>
      </c>
      <c r="D212" s="21" t="s">
        <v>5</v>
      </c>
      <c r="E212" s="21" t="s">
        <v>6</v>
      </c>
      <c r="F212" s="21" t="s">
        <v>7</v>
      </c>
      <c r="G212" s="21" t="s">
        <v>8</v>
      </c>
      <c r="H212" s="21" t="s">
        <v>9</v>
      </c>
      <c r="I212" s="21" t="s">
        <v>10</v>
      </c>
      <c r="J212" s="21" t="s">
        <v>11</v>
      </c>
      <c r="K212" s="21" t="s">
        <v>12</v>
      </c>
      <c r="L212" s="21" t="s">
        <v>13</v>
      </c>
      <c r="M212" s="21" t="s">
        <v>14</v>
      </c>
      <c r="N212" s="21" t="s">
        <v>15</v>
      </c>
      <c r="O212" s="23" t="s">
        <v>232</v>
      </c>
    </row>
    <row r="213" spans="1:15" s="4" customFormat="1" ht="15.75" thickBot="1">
      <c r="A213" s="350" t="s">
        <v>16</v>
      </c>
      <c r="B213" s="351"/>
      <c r="C213" s="351"/>
      <c r="D213" s="351"/>
      <c r="E213" s="352"/>
      <c r="F213" s="352"/>
      <c r="G213" s="352"/>
      <c r="H213" s="352"/>
      <c r="I213" s="352"/>
      <c r="J213" s="352"/>
      <c r="K213" s="352"/>
      <c r="L213" s="352"/>
      <c r="M213" s="352"/>
      <c r="N213" s="352"/>
      <c r="O213" s="24"/>
    </row>
    <row r="214" spans="1:15" s="4" customFormat="1">
      <c r="A214" s="344" t="s">
        <v>279</v>
      </c>
      <c r="B214" s="345"/>
      <c r="C214" s="345"/>
      <c r="D214" s="345"/>
      <c r="E214" s="345"/>
      <c r="F214" s="345"/>
      <c r="G214" s="345"/>
      <c r="H214" s="345"/>
      <c r="I214" s="345"/>
      <c r="J214" s="345"/>
      <c r="K214" s="345"/>
      <c r="L214" s="345"/>
      <c r="M214" s="345"/>
      <c r="N214" s="345"/>
      <c r="O214" s="346"/>
    </row>
    <row r="215" spans="1:15" s="4" customFormat="1" ht="15.75" thickBot="1">
      <c r="A215" s="347" t="s">
        <v>18</v>
      </c>
      <c r="B215" s="348"/>
      <c r="C215" s="348"/>
      <c r="D215" s="348"/>
      <c r="E215" s="348"/>
      <c r="F215" s="348"/>
      <c r="G215" s="348"/>
      <c r="H215" s="348"/>
      <c r="I215" s="348"/>
      <c r="J215" s="348"/>
      <c r="K215" s="348"/>
      <c r="L215" s="348"/>
      <c r="M215" s="348"/>
      <c r="N215" s="348"/>
      <c r="O215" s="349"/>
    </row>
    <row r="216" spans="1:15" s="4" customFormat="1">
      <c r="A216" s="25" t="s">
        <v>19</v>
      </c>
      <c r="B216" s="26">
        <f>SUM(B217)</f>
        <v>967300</v>
      </c>
      <c r="C216" s="26">
        <f t="shared" ref="C216:N216" si="464">SUM(C217)</f>
        <v>0</v>
      </c>
      <c r="D216" s="26">
        <f t="shared" si="464"/>
        <v>0</v>
      </c>
      <c r="E216" s="26">
        <f t="shared" si="464"/>
        <v>0</v>
      </c>
      <c r="F216" s="26">
        <f t="shared" si="464"/>
        <v>850</v>
      </c>
      <c r="G216" s="26">
        <f t="shared" si="464"/>
        <v>0</v>
      </c>
      <c r="H216" s="26">
        <f t="shared" si="464"/>
        <v>0</v>
      </c>
      <c r="I216" s="26">
        <f t="shared" si="464"/>
        <v>0</v>
      </c>
      <c r="J216" s="26">
        <f t="shared" si="464"/>
        <v>595425</v>
      </c>
      <c r="K216" s="26">
        <f t="shared" si="464"/>
        <v>0</v>
      </c>
      <c r="L216" s="26">
        <f t="shared" si="464"/>
        <v>0</v>
      </c>
      <c r="M216" s="26">
        <f t="shared" si="464"/>
        <v>371025</v>
      </c>
      <c r="N216" s="26">
        <f t="shared" si="464"/>
        <v>0</v>
      </c>
      <c r="O216" s="22">
        <f>SUM(C216:N216)</f>
        <v>967300</v>
      </c>
    </row>
    <row r="217" spans="1:15" s="4" customFormat="1">
      <c r="A217" s="27" t="s">
        <v>27</v>
      </c>
      <c r="B217" s="14">
        <v>967300</v>
      </c>
      <c r="C217" s="14"/>
      <c r="D217" s="14"/>
      <c r="E217" s="17"/>
      <c r="F217" s="17">
        <v>850</v>
      </c>
      <c r="G217" s="14"/>
      <c r="H217" s="18"/>
      <c r="I217" s="14"/>
      <c r="J217" s="179">
        <v>595425</v>
      </c>
      <c r="K217" s="14"/>
      <c r="L217" s="14"/>
      <c r="M217" s="14">
        <v>371025</v>
      </c>
      <c r="N217" s="19"/>
      <c r="O217" s="16">
        <f>SUM(C217:N217)</f>
        <v>967300</v>
      </c>
    </row>
    <row r="218" spans="1:15" s="4" customFormat="1">
      <c r="A218" s="10" t="s">
        <v>20</v>
      </c>
      <c r="B218" s="11">
        <f>SUM(B219)</f>
        <v>1528890</v>
      </c>
      <c r="C218" s="11">
        <f t="shared" ref="C218:N218" si="465">SUM(C219)</f>
        <v>0</v>
      </c>
      <c r="D218" s="11">
        <f t="shared" si="465"/>
        <v>0</v>
      </c>
      <c r="E218" s="11">
        <f t="shared" si="465"/>
        <v>0</v>
      </c>
      <c r="F218" s="11">
        <f t="shared" si="465"/>
        <v>1230</v>
      </c>
      <c r="G218" s="11">
        <f t="shared" si="465"/>
        <v>0</v>
      </c>
      <c r="H218" s="11">
        <f t="shared" si="465"/>
        <v>0</v>
      </c>
      <c r="I218" s="11">
        <f t="shared" si="465"/>
        <v>0</v>
      </c>
      <c r="J218" s="11">
        <f t="shared" si="465"/>
        <v>689538</v>
      </c>
      <c r="K218" s="11">
        <f t="shared" si="465"/>
        <v>0</v>
      </c>
      <c r="L218" s="11">
        <f t="shared" si="465"/>
        <v>0</v>
      </c>
      <c r="M218" s="11">
        <f t="shared" si="465"/>
        <v>0</v>
      </c>
      <c r="N218" s="11">
        <f t="shared" si="465"/>
        <v>838122</v>
      </c>
      <c r="O218" s="12">
        <f>SUM(C218:N218)</f>
        <v>1528890</v>
      </c>
    </row>
    <row r="219" spans="1:15" s="4" customFormat="1">
      <c r="A219" s="13" t="s">
        <v>21</v>
      </c>
      <c r="B219" s="14">
        <v>1528890</v>
      </c>
      <c r="C219" s="14"/>
      <c r="D219" s="14"/>
      <c r="E219" s="17"/>
      <c r="F219" s="17">
        <v>1230</v>
      </c>
      <c r="G219" s="14"/>
      <c r="H219" s="18"/>
      <c r="I219" s="14"/>
      <c r="J219" s="179">
        <v>689538</v>
      </c>
      <c r="K219" s="14"/>
      <c r="L219" s="14"/>
      <c r="M219" s="14"/>
      <c r="N219" s="15">
        <v>838122</v>
      </c>
      <c r="O219" s="16">
        <f>SUM(C219:N219)</f>
        <v>1528890</v>
      </c>
    </row>
    <row r="220" spans="1:15" s="4" customFormat="1" ht="15.75" thickBot="1">
      <c r="A220" s="7" t="s">
        <v>22</v>
      </c>
      <c r="B220" s="8">
        <f>SUM(B216-B218)</f>
        <v>-561590</v>
      </c>
      <c r="C220" s="8">
        <f t="shared" ref="C220:N220" si="466">SUM(C216-C218)</f>
        <v>0</v>
      </c>
      <c r="D220" s="8">
        <f t="shared" si="466"/>
        <v>0</v>
      </c>
      <c r="E220" s="8">
        <f t="shared" si="466"/>
        <v>0</v>
      </c>
      <c r="F220" s="8">
        <f t="shared" si="466"/>
        <v>-380</v>
      </c>
      <c r="G220" s="8">
        <f t="shared" si="466"/>
        <v>0</v>
      </c>
      <c r="H220" s="8">
        <f t="shared" si="466"/>
        <v>0</v>
      </c>
      <c r="I220" s="8">
        <f t="shared" si="466"/>
        <v>0</v>
      </c>
      <c r="J220" s="8">
        <f t="shared" si="466"/>
        <v>-94113</v>
      </c>
      <c r="K220" s="8">
        <f t="shared" si="466"/>
        <v>0</v>
      </c>
      <c r="L220" s="8">
        <f t="shared" si="466"/>
        <v>0</v>
      </c>
      <c r="M220" s="8">
        <f t="shared" si="466"/>
        <v>371025</v>
      </c>
      <c r="N220" s="8">
        <f t="shared" si="466"/>
        <v>-838122</v>
      </c>
      <c r="O220" s="9">
        <f>SUM(C220:N220)</f>
        <v>-561590</v>
      </c>
    </row>
    <row r="221" spans="1:15" s="4" customFormat="1" ht="15.75" thickBot="1">
      <c r="A221" s="20" t="s">
        <v>2</v>
      </c>
      <c r="B221" s="21" t="s">
        <v>3</v>
      </c>
      <c r="C221" s="21" t="s">
        <v>4</v>
      </c>
      <c r="D221" s="21" t="s">
        <v>5</v>
      </c>
      <c r="E221" s="21" t="s">
        <v>6</v>
      </c>
      <c r="F221" s="21" t="s">
        <v>7</v>
      </c>
      <c r="G221" s="21" t="s">
        <v>8</v>
      </c>
      <c r="H221" s="21" t="s">
        <v>9</v>
      </c>
      <c r="I221" s="21" t="s">
        <v>10</v>
      </c>
      <c r="J221" s="21" t="s">
        <v>11</v>
      </c>
      <c r="K221" s="21" t="s">
        <v>12</v>
      </c>
      <c r="L221" s="21" t="s">
        <v>13</v>
      </c>
      <c r="M221" s="21" t="s">
        <v>14</v>
      </c>
      <c r="N221" s="21" t="s">
        <v>15</v>
      </c>
      <c r="O221" s="23" t="s">
        <v>232</v>
      </c>
    </row>
    <row r="222" spans="1:15" s="4" customFormat="1" ht="15.75" thickBot="1">
      <c r="A222" s="350" t="s">
        <v>16</v>
      </c>
      <c r="B222" s="351"/>
      <c r="C222" s="351"/>
      <c r="D222" s="351"/>
      <c r="E222" s="352"/>
      <c r="F222" s="352"/>
      <c r="G222" s="352"/>
      <c r="H222" s="352"/>
      <c r="I222" s="352"/>
      <c r="J222" s="352"/>
      <c r="K222" s="352"/>
      <c r="L222" s="352"/>
      <c r="M222" s="352"/>
      <c r="N222" s="352"/>
      <c r="O222" s="24"/>
    </row>
    <row r="223" spans="1:15" s="4" customFormat="1" ht="27" customHeight="1">
      <c r="A223" s="344" t="s">
        <v>280</v>
      </c>
      <c r="B223" s="345"/>
      <c r="C223" s="345"/>
      <c r="D223" s="345"/>
      <c r="E223" s="345"/>
      <c r="F223" s="345"/>
      <c r="G223" s="345"/>
      <c r="H223" s="345"/>
      <c r="I223" s="345"/>
      <c r="J223" s="345"/>
      <c r="K223" s="345"/>
      <c r="L223" s="345"/>
      <c r="M223" s="345"/>
      <c r="N223" s="345"/>
      <c r="O223" s="346"/>
    </row>
    <row r="224" spans="1:15" s="4" customFormat="1" ht="15.75" thickBot="1">
      <c r="A224" s="347" t="s">
        <v>18</v>
      </c>
      <c r="B224" s="348"/>
      <c r="C224" s="348"/>
      <c r="D224" s="348"/>
      <c r="E224" s="348"/>
      <c r="F224" s="348"/>
      <c r="G224" s="348"/>
      <c r="H224" s="348"/>
      <c r="I224" s="348"/>
      <c r="J224" s="348"/>
      <c r="K224" s="348"/>
      <c r="L224" s="348"/>
      <c r="M224" s="348"/>
      <c r="N224" s="348"/>
      <c r="O224" s="349"/>
    </row>
    <row r="225" spans="1:16" s="4" customFormat="1">
      <c r="A225" s="25" t="s">
        <v>19</v>
      </c>
      <c r="B225" s="26">
        <f>SUM(B226)</f>
        <v>4148255</v>
      </c>
      <c r="C225" s="26">
        <f t="shared" ref="C225:N225" si="467">SUM(C226)</f>
        <v>0</v>
      </c>
      <c r="D225" s="26">
        <f t="shared" si="467"/>
        <v>0</v>
      </c>
      <c r="E225" s="26">
        <f t="shared" si="467"/>
        <v>0</v>
      </c>
      <c r="F225" s="26">
        <f t="shared" si="467"/>
        <v>848964</v>
      </c>
      <c r="G225" s="26">
        <f t="shared" si="467"/>
        <v>0</v>
      </c>
      <c r="H225" s="26">
        <f t="shared" si="467"/>
        <v>1343243</v>
      </c>
      <c r="I225" s="26">
        <f t="shared" si="467"/>
        <v>0</v>
      </c>
      <c r="J225" s="26">
        <f t="shared" si="467"/>
        <v>0</v>
      </c>
      <c r="K225" s="26">
        <f t="shared" si="467"/>
        <v>0</v>
      </c>
      <c r="L225" s="26">
        <f t="shared" si="467"/>
        <v>0</v>
      </c>
      <c r="M225" s="26">
        <f t="shared" si="467"/>
        <v>1117381</v>
      </c>
      <c r="N225" s="26">
        <f t="shared" si="467"/>
        <v>0</v>
      </c>
      <c r="O225" s="22">
        <f>SUM(C225:N225)</f>
        <v>3309588</v>
      </c>
    </row>
    <row r="226" spans="1:16" s="4" customFormat="1">
      <c r="A226" s="27" t="s">
        <v>27</v>
      </c>
      <c r="B226" s="14">
        <v>4148255</v>
      </c>
      <c r="C226" s="14"/>
      <c r="D226" s="14"/>
      <c r="E226" s="17"/>
      <c r="F226" s="17">
        <v>848964</v>
      </c>
      <c r="G226" s="14"/>
      <c r="H226" s="179">
        <v>1343243</v>
      </c>
      <c r="I226" s="14"/>
      <c r="J226" s="179"/>
      <c r="K226" s="14"/>
      <c r="L226" s="14"/>
      <c r="M226" s="14">
        <v>1117381</v>
      </c>
      <c r="N226" s="19"/>
      <c r="O226" s="16">
        <f>SUM(C226:N226)</f>
        <v>3309588</v>
      </c>
      <c r="P226" s="4" t="s">
        <v>252</v>
      </c>
    </row>
    <row r="227" spans="1:16" s="4" customFormat="1">
      <c r="A227" s="10" t="s">
        <v>20</v>
      </c>
      <c r="B227" s="11">
        <f>SUM(B228)</f>
        <v>6336756</v>
      </c>
      <c r="C227" s="11">
        <f t="shared" ref="C227:N227" si="468">SUM(C228)</f>
        <v>0</v>
      </c>
      <c r="D227" s="11">
        <f t="shared" si="468"/>
        <v>0</v>
      </c>
      <c r="E227" s="11">
        <f t="shared" si="468"/>
        <v>0</v>
      </c>
      <c r="F227" s="11">
        <f t="shared" si="468"/>
        <v>1328500</v>
      </c>
      <c r="G227" s="11">
        <f t="shared" si="468"/>
        <v>0</v>
      </c>
      <c r="H227" s="11">
        <f t="shared" si="468"/>
        <v>2093752</v>
      </c>
      <c r="I227" s="11">
        <f t="shared" si="468"/>
        <v>0</v>
      </c>
      <c r="J227" s="11">
        <f t="shared" si="468"/>
        <v>0</v>
      </c>
      <c r="K227" s="11">
        <f t="shared" si="468"/>
        <v>0</v>
      </c>
      <c r="L227" s="11">
        <f t="shared" si="468"/>
        <v>0</v>
      </c>
      <c r="M227" s="11">
        <f t="shared" si="468"/>
        <v>2641063</v>
      </c>
      <c r="N227" s="11">
        <f t="shared" si="468"/>
        <v>273441</v>
      </c>
      <c r="O227" s="12">
        <f>SUM(C227:N227)</f>
        <v>6336756</v>
      </c>
    </row>
    <row r="228" spans="1:16" s="4" customFormat="1">
      <c r="A228" s="13" t="s">
        <v>21</v>
      </c>
      <c r="B228" s="14">
        <v>6336756</v>
      </c>
      <c r="C228" s="14"/>
      <c r="D228" s="14"/>
      <c r="E228" s="17"/>
      <c r="F228" s="17">
        <f>1334781-6281</f>
        <v>1328500</v>
      </c>
      <c r="G228" s="14"/>
      <c r="H228" s="179">
        <v>2093752</v>
      </c>
      <c r="I228" s="14"/>
      <c r="J228" s="179"/>
      <c r="K228" s="14"/>
      <c r="L228" s="14"/>
      <c r="M228" s="14">
        <v>2641063</v>
      </c>
      <c r="N228" s="15">
        <v>273441</v>
      </c>
      <c r="O228" s="16">
        <f>SUM(C228:N228)</f>
        <v>6336756</v>
      </c>
    </row>
    <row r="229" spans="1:16" s="4" customFormat="1" ht="15.75" thickBot="1">
      <c r="A229" s="7" t="s">
        <v>22</v>
      </c>
      <c r="B229" s="8">
        <f>SUM(B225-B227)</f>
        <v>-2188501</v>
      </c>
      <c r="C229" s="8">
        <f t="shared" ref="C229:N229" si="469">SUM(C225-C227)</f>
        <v>0</v>
      </c>
      <c r="D229" s="8">
        <f t="shared" si="469"/>
        <v>0</v>
      </c>
      <c r="E229" s="8">
        <f t="shared" si="469"/>
        <v>0</v>
      </c>
      <c r="F229" s="8">
        <f t="shared" si="469"/>
        <v>-479536</v>
      </c>
      <c r="G229" s="8">
        <f t="shared" si="469"/>
        <v>0</v>
      </c>
      <c r="H229" s="8">
        <f t="shared" si="469"/>
        <v>-750509</v>
      </c>
      <c r="I229" s="8">
        <f t="shared" si="469"/>
        <v>0</v>
      </c>
      <c r="J229" s="8">
        <f t="shared" si="469"/>
        <v>0</v>
      </c>
      <c r="K229" s="8">
        <f t="shared" si="469"/>
        <v>0</v>
      </c>
      <c r="L229" s="8">
        <f t="shared" si="469"/>
        <v>0</v>
      </c>
      <c r="M229" s="8">
        <f t="shared" si="469"/>
        <v>-1523682</v>
      </c>
      <c r="N229" s="8">
        <f t="shared" si="469"/>
        <v>-273441</v>
      </c>
      <c r="O229" s="9">
        <f>SUM(C229:N229)</f>
        <v>-3027168</v>
      </c>
    </row>
    <row r="230" spans="1:16" s="4" customFormat="1" ht="15.75" thickBot="1">
      <c r="A230" s="300" t="s">
        <v>281</v>
      </c>
      <c r="B230" s="272"/>
      <c r="O230" s="123"/>
    </row>
    <row r="231" spans="1:16" s="4" customFormat="1" ht="15.75" thickBot="1">
      <c r="A231" s="20" t="s">
        <v>2</v>
      </c>
      <c r="B231" s="21" t="s">
        <v>3</v>
      </c>
      <c r="C231" s="21" t="s">
        <v>4</v>
      </c>
      <c r="D231" s="21" t="s">
        <v>5</v>
      </c>
      <c r="E231" s="21" t="s">
        <v>6</v>
      </c>
      <c r="F231" s="21" t="s">
        <v>7</v>
      </c>
      <c r="G231" s="21" t="s">
        <v>8</v>
      </c>
      <c r="H231" s="21" t="s">
        <v>9</v>
      </c>
      <c r="I231" s="21" t="s">
        <v>10</v>
      </c>
      <c r="J231" s="21" t="s">
        <v>11</v>
      </c>
      <c r="K231" s="21" t="s">
        <v>12</v>
      </c>
      <c r="L231" s="21" t="s">
        <v>13</v>
      </c>
      <c r="M231" s="21" t="s">
        <v>14</v>
      </c>
      <c r="N231" s="21" t="s">
        <v>15</v>
      </c>
      <c r="O231" s="23" t="s">
        <v>232</v>
      </c>
    </row>
    <row r="232" spans="1:16" s="4" customFormat="1" ht="15.75" thickBot="1">
      <c r="A232" s="350" t="s">
        <v>16</v>
      </c>
      <c r="B232" s="351"/>
      <c r="C232" s="351"/>
      <c r="D232" s="351"/>
      <c r="E232" s="352"/>
      <c r="F232" s="352"/>
      <c r="G232" s="352"/>
      <c r="H232" s="352"/>
      <c r="I232" s="352"/>
      <c r="J232" s="352"/>
      <c r="K232" s="352"/>
      <c r="L232" s="352"/>
      <c r="M232" s="352"/>
      <c r="N232" s="352"/>
      <c r="O232" s="24"/>
    </row>
    <row r="233" spans="1:16">
      <c r="A233" s="344" t="s">
        <v>31</v>
      </c>
      <c r="B233" s="345"/>
      <c r="C233" s="345"/>
      <c r="D233" s="345"/>
      <c r="E233" s="345"/>
      <c r="F233" s="345"/>
      <c r="G233" s="345"/>
      <c r="H233" s="345"/>
      <c r="I233" s="345"/>
      <c r="J233" s="345"/>
      <c r="K233" s="345"/>
      <c r="L233" s="345"/>
      <c r="M233" s="345"/>
      <c r="N233" s="345"/>
      <c r="O233" s="346"/>
    </row>
    <row r="234" spans="1:16" ht="15.75" thickBot="1">
      <c r="A234" s="347" t="s">
        <v>18</v>
      </c>
      <c r="B234" s="348"/>
      <c r="C234" s="348"/>
      <c r="D234" s="348"/>
      <c r="E234" s="348"/>
      <c r="F234" s="348"/>
      <c r="G234" s="348"/>
      <c r="H234" s="348"/>
      <c r="I234" s="348"/>
      <c r="J234" s="348"/>
      <c r="K234" s="348"/>
      <c r="L234" s="348"/>
      <c r="M234" s="348"/>
      <c r="N234" s="348"/>
      <c r="O234" s="349"/>
    </row>
    <row r="235" spans="1:16">
      <c r="A235" s="25" t="s">
        <v>19</v>
      </c>
      <c r="B235" s="26">
        <f>SUM(B236)</f>
        <v>143719</v>
      </c>
      <c r="C235" s="26">
        <f t="shared" ref="C235:N235" si="470">SUM(C236)</f>
        <v>0</v>
      </c>
      <c r="D235" s="26">
        <f t="shared" si="470"/>
        <v>5508</v>
      </c>
      <c r="E235" s="26">
        <f t="shared" si="470"/>
        <v>0</v>
      </c>
      <c r="F235" s="26">
        <f t="shared" si="470"/>
        <v>0</v>
      </c>
      <c r="G235" s="26">
        <f t="shared" si="470"/>
        <v>0</v>
      </c>
      <c r="H235" s="26">
        <f t="shared" si="470"/>
        <v>138211</v>
      </c>
      <c r="I235" s="26">
        <f t="shared" si="470"/>
        <v>0</v>
      </c>
      <c r="J235" s="26">
        <f t="shared" si="470"/>
        <v>0</v>
      </c>
      <c r="K235" s="26">
        <f t="shared" si="470"/>
        <v>0</v>
      </c>
      <c r="L235" s="26">
        <f t="shared" si="470"/>
        <v>0</v>
      </c>
      <c r="M235" s="26">
        <f t="shared" si="470"/>
        <v>0</v>
      </c>
      <c r="N235" s="26">
        <f t="shared" si="470"/>
        <v>0</v>
      </c>
      <c r="O235" s="22">
        <f>SUM(C235:N235)</f>
        <v>143719</v>
      </c>
    </row>
    <row r="236" spans="1:16">
      <c r="A236" s="27" t="s">
        <v>27</v>
      </c>
      <c r="B236" s="14">
        <v>143719</v>
      </c>
      <c r="C236" s="14"/>
      <c r="D236" s="14">
        <v>5508</v>
      </c>
      <c r="E236" s="17"/>
      <c r="F236" s="17"/>
      <c r="G236" s="14"/>
      <c r="H236" s="179">
        <v>138211</v>
      </c>
      <c r="I236" s="14"/>
      <c r="J236" s="179"/>
      <c r="K236" s="14"/>
      <c r="L236" s="14"/>
      <c r="M236" s="14"/>
      <c r="N236" s="19"/>
      <c r="O236" s="16">
        <f>SUM(C236:N236)</f>
        <v>143719</v>
      </c>
      <c r="P236" t="s">
        <v>252</v>
      </c>
    </row>
    <row r="237" spans="1:16" s="272" customFormat="1">
      <c r="A237" s="10" t="s">
        <v>20</v>
      </c>
      <c r="B237" s="11">
        <f>SUM(B238)</f>
        <v>200000</v>
      </c>
      <c r="C237" s="11">
        <f t="shared" ref="C237:N237" si="471">SUM(C238)</f>
        <v>0</v>
      </c>
      <c r="D237" s="11">
        <f t="shared" si="471"/>
        <v>0</v>
      </c>
      <c r="E237" s="11">
        <f t="shared" si="471"/>
        <v>0</v>
      </c>
      <c r="F237" s="11">
        <f t="shared" si="471"/>
        <v>0</v>
      </c>
      <c r="G237" s="11">
        <f t="shared" si="471"/>
        <v>0</v>
      </c>
      <c r="H237" s="11">
        <f t="shared" si="471"/>
        <v>0</v>
      </c>
      <c r="I237" s="11">
        <f t="shared" si="471"/>
        <v>200000</v>
      </c>
      <c r="J237" s="11">
        <f t="shared" si="471"/>
        <v>0</v>
      </c>
      <c r="K237" s="11">
        <f t="shared" si="471"/>
        <v>0</v>
      </c>
      <c r="L237" s="11">
        <f t="shared" si="471"/>
        <v>0</v>
      </c>
      <c r="M237" s="11">
        <f t="shared" si="471"/>
        <v>0</v>
      </c>
      <c r="N237" s="11">
        <f t="shared" si="471"/>
        <v>0</v>
      </c>
      <c r="O237" s="12">
        <f>SUM(C237:N237)</f>
        <v>200000</v>
      </c>
    </row>
    <row r="238" spans="1:16" s="272" customFormat="1">
      <c r="A238" s="13" t="s">
        <v>21</v>
      </c>
      <c r="B238" s="14">
        <v>200000</v>
      </c>
      <c r="C238" s="14"/>
      <c r="D238" s="14"/>
      <c r="E238" s="17"/>
      <c r="F238" s="17"/>
      <c r="G238" s="14"/>
      <c r="H238" s="179"/>
      <c r="I238" s="14">
        <v>200000</v>
      </c>
      <c r="J238" s="179"/>
      <c r="K238" s="14"/>
      <c r="L238" s="14"/>
      <c r="M238" s="14"/>
      <c r="N238" s="15"/>
      <c r="O238" s="16">
        <f>SUM(C238:N238)</f>
        <v>200000</v>
      </c>
    </row>
    <row r="239" spans="1:16" s="272" customFormat="1" ht="15" customHeight="1" thickBot="1">
      <c r="A239" s="7" t="s">
        <v>22</v>
      </c>
      <c r="B239" s="8">
        <f>SUM(B235-B237)</f>
        <v>-56281</v>
      </c>
      <c r="C239" s="8">
        <f t="shared" ref="C239:N239" si="472">SUM(C235-C237)</f>
        <v>0</v>
      </c>
      <c r="D239" s="8">
        <f t="shared" si="472"/>
        <v>5508</v>
      </c>
      <c r="E239" s="8">
        <f t="shared" si="472"/>
        <v>0</v>
      </c>
      <c r="F239" s="8">
        <f t="shared" si="472"/>
        <v>0</v>
      </c>
      <c r="G239" s="8">
        <f t="shared" si="472"/>
        <v>0</v>
      </c>
      <c r="H239" s="8">
        <f t="shared" si="472"/>
        <v>138211</v>
      </c>
      <c r="I239" s="8">
        <f t="shared" si="472"/>
        <v>-200000</v>
      </c>
      <c r="J239" s="8">
        <f t="shared" si="472"/>
        <v>0</v>
      </c>
      <c r="K239" s="8">
        <f t="shared" si="472"/>
        <v>0</v>
      </c>
      <c r="L239" s="8">
        <f t="shared" si="472"/>
        <v>0</v>
      </c>
      <c r="M239" s="8">
        <f t="shared" si="472"/>
        <v>0</v>
      </c>
      <c r="N239" s="8">
        <f t="shared" si="472"/>
        <v>0</v>
      </c>
      <c r="O239" s="9">
        <f>SUM(C239:N239)</f>
        <v>-56281</v>
      </c>
    </row>
    <row r="240" spans="1:16" s="272" customFormat="1">
      <c r="A240" s="354" t="s">
        <v>296</v>
      </c>
      <c r="B240" s="354"/>
      <c r="C240" s="354"/>
      <c r="D240" s="354"/>
      <c r="E240" s="354"/>
      <c r="F240" s="354"/>
      <c r="G240" s="354"/>
      <c r="H240" s="354"/>
      <c r="I240" s="354"/>
      <c r="J240" s="354"/>
      <c r="K240" s="354"/>
      <c r="L240" s="354"/>
      <c r="M240" s="354"/>
      <c r="N240" s="354"/>
      <c r="O240" s="354"/>
    </row>
    <row r="241" spans="1:15" s="272" customFormat="1">
      <c r="A241" s="291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</row>
    <row r="242" spans="1:15" s="272" customFormat="1">
      <c r="A242" s="293"/>
      <c r="B242" s="294"/>
      <c r="C242" s="294"/>
      <c r="D242" s="294"/>
      <c r="E242" s="295"/>
      <c r="F242" s="295"/>
      <c r="G242" s="294"/>
      <c r="I242" s="294"/>
      <c r="K242" s="294"/>
      <c r="L242" s="294"/>
      <c r="M242" s="294"/>
      <c r="N242" s="295"/>
      <c r="O242" s="294"/>
    </row>
    <row r="243" spans="1:15" s="272" customFormat="1">
      <c r="A243" s="291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</row>
    <row r="244" spans="1:15" s="272" customFormat="1">
      <c r="A244" s="296"/>
      <c r="B244" s="294"/>
      <c r="C244" s="294"/>
      <c r="D244" s="294"/>
      <c r="E244" s="295"/>
      <c r="F244" s="295"/>
      <c r="G244" s="294"/>
      <c r="I244" s="294"/>
      <c r="K244" s="294"/>
      <c r="L244" s="294"/>
      <c r="M244" s="294"/>
      <c r="N244" s="294"/>
      <c r="O244" s="294"/>
    </row>
    <row r="245" spans="1:15" s="272" customFormat="1">
      <c r="A245" s="291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</row>
  </sheetData>
  <mergeCells count="77">
    <mergeCell ref="A240:O240"/>
    <mergeCell ref="A18:O18"/>
    <mergeCell ref="A19:O19"/>
    <mergeCell ref="A26:N26"/>
    <mergeCell ref="A27:O27"/>
    <mergeCell ref="A28:O28"/>
    <mergeCell ref="A35:N35"/>
    <mergeCell ref="A36:O36"/>
    <mergeCell ref="A71:N71"/>
    <mergeCell ref="A72:O72"/>
    <mergeCell ref="A73:O73"/>
    <mergeCell ref="A37:O37"/>
    <mergeCell ref="A44:N44"/>
    <mergeCell ref="A45:O45"/>
    <mergeCell ref="A99:O99"/>
    <mergeCell ref="A100:O100"/>
    <mergeCell ref="A6:O6"/>
    <mergeCell ref="A10:O10"/>
    <mergeCell ref="A8:N8"/>
    <mergeCell ref="A9:O9"/>
    <mergeCell ref="A17:N17"/>
    <mergeCell ref="A46:O46"/>
    <mergeCell ref="A53:N53"/>
    <mergeCell ref="A80:N80"/>
    <mergeCell ref="A81:O81"/>
    <mergeCell ref="A54:O54"/>
    <mergeCell ref="A55:O55"/>
    <mergeCell ref="A62:N62"/>
    <mergeCell ref="A63:O63"/>
    <mergeCell ref="A64:O64"/>
    <mergeCell ref="A82:O82"/>
    <mergeCell ref="A89:N89"/>
    <mergeCell ref="A90:O90"/>
    <mergeCell ref="A91:O91"/>
    <mergeCell ref="A98:N98"/>
    <mergeCell ref="A118:O118"/>
    <mergeCell ref="A125:N125"/>
    <mergeCell ref="A126:O126"/>
    <mergeCell ref="A127:O127"/>
    <mergeCell ref="A134:N134"/>
    <mergeCell ref="A107:N107"/>
    <mergeCell ref="A108:O108"/>
    <mergeCell ref="A109:O109"/>
    <mergeCell ref="A116:N116"/>
    <mergeCell ref="A117:O117"/>
    <mergeCell ref="A154:N154"/>
    <mergeCell ref="A155:O155"/>
    <mergeCell ref="A156:O156"/>
    <mergeCell ref="A163:N163"/>
    <mergeCell ref="A164:O164"/>
    <mergeCell ref="A135:O135"/>
    <mergeCell ref="A136:O136"/>
    <mergeCell ref="A145:N145"/>
    <mergeCell ref="A146:O146"/>
    <mergeCell ref="A147:O147"/>
    <mergeCell ref="A191:O191"/>
    <mergeCell ref="A192:O192"/>
    <mergeCell ref="A165:O165"/>
    <mergeCell ref="A172:N172"/>
    <mergeCell ref="A173:O173"/>
    <mergeCell ref="A174:O174"/>
    <mergeCell ref="A190:N190"/>
    <mergeCell ref="A181:N181"/>
    <mergeCell ref="A182:O182"/>
    <mergeCell ref="A183:O183"/>
    <mergeCell ref="A199:N199"/>
    <mergeCell ref="A200:O200"/>
    <mergeCell ref="A201:O201"/>
    <mergeCell ref="A213:N213"/>
    <mergeCell ref="A214:O214"/>
    <mergeCell ref="A233:O233"/>
    <mergeCell ref="A234:O234"/>
    <mergeCell ref="A215:O215"/>
    <mergeCell ref="A222:N222"/>
    <mergeCell ref="A223:O223"/>
    <mergeCell ref="A224:O224"/>
    <mergeCell ref="A232:N232"/>
  </mergeCells>
  <pageMargins left="0.23622047244094491" right="0.23622047244094491" top="0.74803149606299213" bottom="0.35433070866141736" header="0.31496062992125984" footer="0.31496062992125984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8"/>
  <sheetViews>
    <sheetView workbookViewId="0">
      <selection activeCell="L5" sqref="L5"/>
    </sheetView>
  </sheetViews>
  <sheetFormatPr defaultRowHeight="15"/>
  <cols>
    <col min="1" max="1" width="32.5703125" customWidth="1"/>
    <col min="15" max="15" width="10.28515625" customWidth="1"/>
    <col min="16" max="16" width="10.85546875" hidden="1" customWidth="1"/>
  </cols>
  <sheetData>
    <row r="1" spans="1:15" ht="15.75">
      <c r="A1" s="4"/>
      <c r="B1" s="4"/>
      <c r="C1" s="4"/>
      <c r="D1" s="4"/>
      <c r="E1" s="4"/>
      <c r="F1" s="4"/>
      <c r="G1" s="4"/>
      <c r="H1" s="4"/>
      <c r="I1" s="4"/>
      <c r="J1" s="4"/>
      <c r="L1" s="6" t="s">
        <v>32</v>
      </c>
      <c r="M1" s="32"/>
      <c r="N1" s="32"/>
      <c r="O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L2" s="5" t="s">
        <v>299</v>
      </c>
      <c r="M2" s="33"/>
      <c r="N2" s="33"/>
      <c r="O2" s="4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L3" s="5" t="s">
        <v>0</v>
      </c>
      <c r="M3" s="33"/>
      <c r="N3" s="33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L4" s="5" t="s">
        <v>300</v>
      </c>
      <c r="M4" s="33"/>
      <c r="N4" s="33"/>
      <c r="O4" s="4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3"/>
      <c r="M5" s="33"/>
      <c r="N5" s="33"/>
      <c r="O5" s="33"/>
    </row>
    <row r="6" spans="1:15">
      <c r="A6" s="385" t="s">
        <v>33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</row>
    <row r="7" spans="1:15" s="4" customFormat="1" ht="15.75" thickBo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15.75" thickBot="1">
      <c r="A8" s="20" t="s">
        <v>2</v>
      </c>
      <c r="B8" s="21" t="s">
        <v>3</v>
      </c>
      <c r="C8" s="21" t="s">
        <v>4</v>
      </c>
      <c r="D8" s="21" t="s">
        <v>5</v>
      </c>
      <c r="E8" s="21" t="s">
        <v>6</v>
      </c>
      <c r="F8" s="21" t="s">
        <v>7</v>
      </c>
      <c r="G8" s="21" t="s">
        <v>8</v>
      </c>
      <c r="H8" s="21" t="s">
        <v>9</v>
      </c>
      <c r="I8" s="21" t="s">
        <v>10</v>
      </c>
      <c r="J8" s="21" t="s">
        <v>11</v>
      </c>
      <c r="K8" s="21" t="s">
        <v>12</v>
      </c>
      <c r="L8" s="21" t="s">
        <v>13</v>
      </c>
      <c r="M8" s="21" t="s">
        <v>14</v>
      </c>
      <c r="N8" s="35" t="s">
        <v>15</v>
      </c>
      <c r="O8" s="36" t="s">
        <v>232</v>
      </c>
    </row>
    <row r="9" spans="1:15">
      <c r="A9" s="376" t="s">
        <v>34</v>
      </c>
      <c r="B9" s="377"/>
      <c r="C9" s="377"/>
      <c r="D9" s="377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"/>
    </row>
    <row r="10" spans="1:15">
      <c r="A10" s="379" t="s">
        <v>36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1"/>
    </row>
    <row r="11" spans="1:15" ht="15.75" thickBot="1">
      <c r="A11" s="364" t="s">
        <v>37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6"/>
    </row>
    <row r="12" spans="1:15">
      <c r="A12" s="38" t="s">
        <v>19</v>
      </c>
      <c r="B12" s="39">
        <f>SUM(B13)</f>
        <v>182246</v>
      </c>
      <c r="C12" s="39">
        <f t="shared" ref="C12:N12" si="0">SUM(C13)</f>
        <v>169267</v>
      </c>
      <c r="D12" s="39">
        <f t="shared" si="0"/>
        <v>6197</v>
      </c>
      <c r="E12" s="39">
        <f t="shared" si="0"/>
        <v>0</v>
      </c>
      <c r="F12" s="39">
        <f t="shared" si="0"/>
        <v>2000</v>
      </c>
      <c r="G12" s="39">
        <f t="shared" si="0"/>
        <v>4782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  <c r="O12" s="40">
        <f>SUM(O13:O13)</f>
        <v>182246</v>
      </c>
    </row>
    <row r="13" spans="1:15">
      <c r="A13" s="41" t="s">
        <v>27</v>
      </c>
      <c r="B13" s="42">
        <v>182246</v>
      </c>
      <c r="C13" s="42">
        <v>169267</v>
      </c>
      <c r="D13" s="42">
        <v>6197</v>
      </c>
      <c r="E13" s="42"/>
      <c r="F13" s="42">
        <v>2000</v>
      </c>
      <c r="G13" s="42">
        <v>4782</v>
      </c>
      <c r="H13" s="42"/>
      <c r="I13" s="42"/>
      <c r="J13" s="42"/>
      <c r="K13" s="42"/>
      <c r="L13" s="42"/>
      <c r="M13" s="42"/>
      <c r="N13" s="43"/>
      <c r="O13" s="44">
        <f>SUM(C13:N13)</f>
        <v>182246</v>
      </c>
    </row>
    <row r="14" spans="1:15">
      <c r="A14" s="38" t="s">
        <v>20</v>
      </c>
      <c r="B14" s="39">
        <f t="shared" ref="B14:N14" si="1">SUM(B15:B15)</f>
        <v>182246</v>
      </c>
      <c r="C14" s="39">
        <f t="shared" si="1"/>
        <v>169267</v>
      </c>
      <c r="D14" s="39">
        <f t="shared" si="1"/>
        <v>6197</v>
      </c>
      <c r="E14" s="39">
        <f t="shared" si="1"/>
        <v>0</v>
      </c>
      <c r="F14" s="39">
        <f t="shared" si="1"/>
        <v>2000</v>
      </c>
      <c r="G14" s="39">
        <f t="shared" si="1"/>
        <v>4782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  <c r="N14" s="39">
        <f t="shared" si="1"/>
        <v>0</v>
      </c>
      <c r="O14" s="45">
        <f>SUM(C14:N14)</f>
        <v>182246</v>
      </c>
    </row>
    <row r="15" spans="1:15">
      <c r="A15" s="46" t="s">
        <v>21</v>
      </c>
      <c r="B15" s="47">
        <v>182246</v>
      </c>
      <c r="C15" s="47">
        <v>169267</v>
      </c>
      <c r="D15" s="47">
        <v>6197</v>
      </c>
      <c r="E15" s="47"/>
      <c r="F15" s="47">
        <v>2000</v>
      </c>
      <c r="G15" s="47">
        <v>4782</v>
      </c>
      <c r="H15" s="47"/>
      <c r="I15" s="47"/>
      <c r="J15" s="47"/>
      <c r="K15" s="47"/>
      <c r="L15" s="47"/>
      <c r="M15" s="47"/>
      <c r="N15" s="48"/>
      <c r="O15" s="49">
        <f>SUM(C15:N15)</f>
        <v>182246</v>
      </c>
    </row>
    <row r="16" spans="1:15" ht="15.75" thickBot="1">
      <c r="A16" s="303" t="s">
        <v>22</v>
      </c>
      <c r="B16" s="304">
        <f t="shared" ref="B16:O16" si="2">SUM(B12-B14)</f>
        <v>0</v>
      </c>
      <c r="C16" s="304">
        <f t="shared" si="2"/>
        <v>0</v>
      </c>
      <c r="D16" s="304">
        <f t="shared" si="2"/>
        <v>0</v>
      </c>
      <c r="E16" s="304">
        <f t="shared" si="2"/>
        <v>0</v>
      </c>
      <c r="F16" s="304">
        <f t="shared" si="2"/>
        <v>0</v>
      </c>
      <c r="G16" s="304">
        <f t="shared" si="2"/>
        <v>0</v>
      </c>
      <c r="H16" s="304">
        <f t="shared" si="2"/>
        <v>0</v>
      </c>
      <c r="I16" s="304">
        <f t="shared" si="2"/>
        <v>0</v>
      </c>
      <c r="J16" s="304">
        <f t="shared" si="2"/>
        <v>0</v>
      </c>
      <c r="K16" s="304">
        <f t="shared" si="2"/>
        <v>0</v>
      </c>
      <c r="L16" s="304">
        <f t="shared" si="2"/>
        <v>0</v>
      </c>
      <c r="M16" s="304">
        <f t="shared" si="2"/>
        <v>0</v>
      </c>
      <c r="N16" s="305">
        <f t="shared" si="2"/>
        <v>0</v>
      </c>
      <c r="O16" s="306">
        <f t="shared" si="2"/>
        <v>0</v>
      </c>
    </row>
    <row r="17" spans="1:17" ht="15.75" thickBot="1">
      <c r="A17" s="20" t="s">
        <v>2</v>
      </c>
      <c r="B17" s="21" t="s">
        <v>3</v>
      </c>
      <c r="C17" s="21" t="s">
        <v>4</v>
      </c>
      <c r="D17" s="21" t="s">
        <v>5</v>
      </c>
      <c r="E17" s="21" t="s">
        <v>6</v>
      </c>
      <c r="F17" s="21" t="s">
        <v>7</v>
      </c>
      <c r="G17" s="21" t="s">
        <v>8</v>
      </c>
      <c r="H17" s="21" t="s">
        <v>9</v>
      </c>
      <c r="I17" s="21" t="s">
        <v>10</v>
      </c>
      <c r="J17" s="21" t="s">
        <v>11</v>
      </c>
      <c r="K17" s="21" t="s">
        <v>12</v>
      </c>
      <c r="L17" s="21" t="s">
        <v>13</v>
      </c>
      <c r="M17" s="21" t="s">
        <v>14</v>
      </c>
      <c r="N17" s="35" t="s">
        <v>15</v>
      </c>
      <c r="O17" s="36" t="s">
        <v>232</v>
      </c>
    </row>
    <row r="18" spans="1:17">
      <c r="A18" s="376" t="s">
        <v>34</v>
      </c>
      <c r="B18" s="377"/>
      <c r="C18" s="377"/>
      <c r="D18" s="377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"/>
    </row>
    <row r="19" spans="1:17">
      <c r="A19" s="379" t="s">
        <v>266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1"/>
    </row>
    <row r="20" spans="1:17" ht="15.75" thickBot="1">
      <c r="A20" s="364" t="s">
        <v>37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1:17">
      <c r="A21" s="38" t="s">
        <v>19</v>
      </c>
      <c r="B21" s="39">
        <f>SUM(B22)</f>
        <v>281348</v>
      </c>
      <c r="C21" s="39">
        <f t="shared" ref="C21:N21" si="3">SUM(C22)</f>
        <v>0</v>
      </c>
      <c r="D21" s="39">
        <f t="shared" si="3"/>
        <v>30000</v>
      </c>
      <c r="E21" s="39">
        <f t="shared" si="3"/>
        <v>0</v>
      </c>
      <c r="F21" s="39">
        <f t="shared" si="3"/>
        <v>0</v>
      </c>
      <c r="G21" s="39">
        <f t="shared" si="3"/>
        <v>42000</v>
      </c>
      <c r="H21" s="39">
        <f t="shared" si="3"/>
        <v>24549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  <c r="M21" s="39">
        <f t="shared" si="3"/>
        <v>0</v>
      </c>
      <c r="N21" s="39">
        <f t="shared" si="3"/>
        <v>89850</v>
      </c>
      <c r="O21" s="40">
        <f>SUM(O22:O22)</f>
        <v>186399</v>
      </c>
      <c r="Q21" t="s">
        <v>252</v>
      </c>
    </row>
    <row r="22" spans="1:17">
      <c r="A22" s="41" t="s">
        <v>27</v>
      </c>
      <c r="B22" s="42">
        <v>281348</v>
      </c>
      <c r="C22" s="42"/>
      <c r="D22" s="42">
        <v>30000</v>
      </c>
      <c r="E22" s="42"/>
      <c r="F22" s="42"/>
      <c r="G22" s="42">
        <v>42000</v>
      </c>
      <c r="H22" s="42">
        <v>24549</v>
      </c>
      <c r="I22" s="42"/>
      <c r="J22" s="42"/>
      <c r="K22" s="42"/>
      <c r="L22" s="42"/>
      <c r="M22" s="42"/>
      <c r="N22" s="43">
        <v>89850</v>
      </c>
      <c r="O22" s="44">
        <f>SUM(C22:N22)</f>
        <v>186399</v>
      </c>
    </row>
    <row r="23" spans="1:17">
      <c r="A23" s="38" t="s">
        <v>20</v>
      </c>
      <c r="B23" s="39">
        <f t="shared" ref="B23:N23" si="4">SUM(B24:B24)</f>
        <v>281348</v>
      </c>
      <c r="C23" s="39">
        <f t="shared" si="4"/>
        <v>113850</v>
      </c>
      <c r="D23" s="39">
        <f t="shared" si="4"/>
        <v>0</v>
      </c>
      <c r="E23" s="39">
        <f t="shared" si="4"/>
        <v>0</v>
      </c>
      <c r="F23" s="39">
        <f t="shared" si="4"/>
        <v>0</v>
      </c>
      <c r="G23" s="39">
        <f t="shared" si="4"/>
        <v>12000</v>
      </c>
      <c r="H23" s="39">
        <f t="shared" si="4"/>
        <v>24549</v>
      </c>
      <c r="I23" s="39">
        <f t="shared" si="4"/>
        <v>0</v>
      </c>
      <c r="J23" s="39">
        <f t="shared" si="4"/>
        <v>0</v>
      </c>
      <c r="K23" s="39">
        <f t="shared" si="4"/>
        <v>0</v>
      </c>
      <c r="L23" s="39">
        <f t="shared" si="4"/>
        <v>0</v>
      </c>
      <c r="M23" s="39">
        <f t="shared" si="4"/>
        <v>35000</v>
      </c>
      <c r="N23" s="39">
        <f t="shared" si="4"/>
        <v>1000</v>
      </c>
      <c r="O23" s="45">
        <f>SUM(C23:N23)</f>
        <v>186399</v>
      </c>
    </row>
    <row r="24" spans="1:17">
      <c r="A24" s="46" t="s">
        <v>21</v>
      </c>
      <c r="B24" s="47">
        <v>281348</v>
      </c>
      <c r="C24" s="47">
        <v>113850</v>
      </c>
      <c r="D24" s="47"/>
      <c r="E24" s="47"/>
      <c r="F24" s="47"/>
      <c r="G24" s="47">
        <v>12000</v>
      </c>
      <c r="H24" s="47">
        <v>24549</v>
      </c>
      <c r="I24" s="47"/>
      <c r="J24" s="47"/>
      <c r="K24" s="47"/>
      <c r="L24" s="47"/>
      <c r="M24" s="47">
        <v>35000</v>
      </c>
      <c r="N24" s="48">
        <v>1000</v>
      </c>
      <c r="O24" s="49">
        <f>SUM(C24:N24)</f>
        <v>186399</v>
      </c>
    </row>
    <row r="25" spans="1:17" ht="15.75" thickBot="1">
      <c r="A25" s="50" t="s">
        <v>22</v>
      </c>
      <c r="B25" s="51">
        <f t="shared" ref="B25:O25" si="5">SUM(B21-B23)</f>
        <v>0</v>
      </c>
      <c r="C25" s="51">
        <f t="shared" si="5"/>
        <v>-113850</v>
      </c>
      <c r="D25" s="51">
        <f t="shared" si="5"/>
        <v>30000</v>
      </c>
      <c r="E25" s="51">
        <f t="shared" si="5"/>
        <v>0</v>
      </c>
      <c r="F25" s="51">
        <f t="shared" si="5"/>
        <v>0</v>
      </c>
      <c r="G25" s="51">
        <f t="shared" si="5"/>
        <v>30000</v>
      </c>
      <c r="H25" s="51">
        <f t="shared" si="5"/>
        <v>0</v>
      </c>
      <c r="I25" s="51">
        <f t="shared" si="5"/>
        <v>0</v>
      </c>
      <c r="J25" s="51">
        <f t="shared" si="5"/>
        <v>0</v>
      </c>
      <c r="K25" s="51">
        <f t="shared" si="5"/>
        <v>0</v>
      </c>
      <c r="L25" s="51">
        <f t="shared" si="5"/>
        <v>0</v>
      </c>
      <c r="M25" s="51">
        <f t="shared" si="5"/>
        <v>-35000</v>
      </c>
      <c r="N25" s="52">
        <f t="shared" si="5"/>
        <v>88850</v>
      </c>
      <c r="O25" s="53">
        <f t="shared" si="5"/>
        <v>0</v>
      </c>
    </row>
    <row r="26" spans="1:17" s="4" customFormat="1" ht="15.75" thickBot="1">
      <c r="A26" s="308" t="s">
        <v>284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</row>
    <row r="27" spans="1:17" ht="15.75" thickBot="1">
      <c r="A27" s="20" t="s">
        <v>2</v>
      </c>
      <c r="B27" s="21" t="s">
        <v>3</v>
      </c>
      <c r="C27" s="21" t="s">
        <v>4</v>
      </c>
      <c r="D27" s="21" t="s">
        <v>5</v>
      </c>
      <c r="E27" s="21" t="s">
        <v>6</v>
      </c>
      <c r="F27" s="21" t="s">
        <v>7</v>
      </c>
      <c r="G27" s="21" t="s">
        <v>8</v>
      </c>
      <c r="H27" s="21" t="s">
        <v>9</v>
      </c>
      <c r="I27" s="21" t="s">
        <v>10</v>
      </c>
      <c r="J27" s="21" t="s">
        <v>11</v>
      </c>
      <c r="K27" s="21" t="s">
        <v>12</v>
      </c>
      <c r="L27" s="21" t="s">
        <v>13</v>
      </c>
      <c r="M27" s="21" t="s">
        <v>14</v>
      </c>
      <c r="N27" s="35" t="s">
        <v>15</v>
      </c>
      <c r="O27" s="36" t="s">
        <v>232</v>
      </c>
    </row>
    <row r="28" spans="1:17">
      <c r="A28" s="376" t="s">
        <v>34</v>
      </c>
      <c r="B28" s="377"/>
      <c r="C28" s="377"/>
      <c r="D28" s="377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"/>
    </row>
    <row r="29" spans="1:17">
      <c r="A29" s="379" t="s">
        <v>267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1"/>
    </row>
    <row r="30" spans="1:17" ht="15.75" thickBot="1">
      <c r="A30" s="364" t="s">
        <v>35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1:17">
      <c r="A31" s="38" t="s">
        <v>19</v>
      </c>
      <c r="B31" s="39">
        <f>SUM(B32)</f>
        <v>232325</v>
      </c>
      <c r="C31" s="39">
        <f t="shared" ref="C31:N31" si="6">SUM(C32)</f>
        <v>220975</v>
      </c>
      <c r="D31" s="39">
        <f t="shared" si="6"/>
        <v>11350</v>
      </c>
      <c r="E31" s="39">
        <f t="shared" si="6"/>
        <v>0</v>
      </c>
      <c r="F31" s="39">
        <f t="shared" si="6"/>
        <v>0</v>
      </c>
      <c r="G31" s="39">
        <f t="shared" si="6"/>
        <v>0</v>
      </c>
      <c r="H31" s="39">
        <f t="shared" si="6"/>
        <v>0</v>
      </c>
      <c r="I31" s="39">
        <f t="shared" si="6"/>
        <v>0</v>
      </c>
      <c r="J31" s="39">
        <f t="shared" si="6"/>
        <v>0</v>
      </c>
      <c r="K31" s="39">
        <f t="shared" si="6"/>
        <v>0</v>
      </c>
      <c r="L31" s="39">
        <f t="shared" si="6"/>
        <v>0</v>
      </c>
      <c r="M31" s="39">
        <f t="shared" si="6"/>
        <v>0</v>
      </c>
      <c r="N31" s="39">
        <f t="shared" si="6"/>
        <v>0</v>
      </c>
      <c r="O31" s="40">
        <f>SUM(O32:O32)</f>
        <v>232325</v>
      </c>
    </row>
    <row r="32" spans="1:17" s="231" customFormat="1">
      <c r="A32" s="175" t="s">
        <v>27</v>
      </c>
      <c r="B32" s="176">
        <v>232325</v>
      </c>
      <c r="C32" s="176">
        <v>220975</v>
      </c>
      <c r="D32" s="176">
        <v>11350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7"/>
      <c r="O32" s="178">
        <f>SUM(C32:N32)</f>
        <v>232325</v>
      </c>
    </row>
    <row r="33" spans="1:17">
      <c r="A33" s="38" t="s">
        <v>20</v>
      </c>
      <c r="B33" s="39">
        <f t="shared" ref="B33:N33" si="7">SUM(B34:B34)</f>
        <v>232325</v>
      </c>
      <c r="C33" s="39">
        <f t="shared" si="7"/>
        <v>3520</v>
      </c>
      <c r="D33" s="39">
        <f t="shared" si="7"/>
        <v>63670</v>
      </c>
      <c r="E33" s="39">
        <f t="shared" si="7"/>
        <v>3520</v>
      </c>
      <c r="F33" s="39">
        <f t="shared" si="7"/>
        <v>3520</v>
      </c>
      <c r="G33" s="39">
        <f t="shared" si="7"/>
        <v>40670</v>
      </c>
      <c r="H33" s="39">
        <f t="shared" si="7"/>
        <v>3520</v>
      </c>
      <c r="I33" s="39">
        <f t="shared" si="7"/>
        <v>3520</v>
      </c>
      <c r="J33" s="39">
        <f t="shared" si="7"/>
        <v>3520</v>
      </c>
      <c r="K33" s="39">
        <f t="shared" si="7"/>
        <v>40669</v>
      </c>
      <c r="L33" s="39">
        <f t="shared" si="7"/>
        <v>3519</v>
      </c>
      <c r="M33" s="39">
        <f t="shared" si="7"/>
        <v>59160</v>
      </c>
      <c r="N33" s="39">
        <f t="shared" si="7"/>
        <v>3517</v>
      </c>
      <c r="O33" s="45">
        <f>SUM(C33:N33)</f>
        <v>232325</v>
      </c>
    </row>
    <row r="34" spans="1:17">
      <c r="A34" s="46" t="s">
        <v>21</v>
      </c>
      <c r="B34" s="47">
        <v>232325</v>
      </c>
      <c r="C34" s="47">
        <v>3520</v>
      </c>
      <c r="D34" s="47">
        <v>63670</v>
      </c>
      <c r="E34" s="47">
        <v>3520</v>
      </c>
      <c r="F34" s="47">
        <v>3520</v>
      </c>
      <c r="G34" s="47">
        <v>40670</v>
      </c>
      <c r="H34" s="47">
        <v>3520</v>
      </c>
      <c r="I34" s="47">
        <v>3520</v>
      </c>
      <c r="J34" s="47">
        <v>3520</v>
      </c>
      <c r="K34" s="47">
        <v>40669</v>
      </c>
      <c r="L34" s="47">
        <v>3519</v>
      </c>
      <c r="M34" s="47">
        <v>59160</v>
      </c>
      <c r="N34" s="48">
        <v>3517</v>
      </c>
      <c r="O34" s="49">
        <f>SUM(C34:N34)</f>
        <v>232325</v>
      </c>
    </row>
    <row r="35" spans="1:17" ht="15.75" thickBot="1">
      <c r="A35" s="50" t="s">
        <v>22</v>
      </c>
      <c r="B35" s="51">
        <f t="shared" ref="B35:O35" si="8">SUM(B31-B33)</f>
        <v>0</v>
      </c>
      <c r="C35" s="51">
        <f t="shared" si="8"/>
        <v>217455</v>
      </c>
      <c r="D35" s="51">
        <f t="shared" si="8"/>
        <v>-52320</v>
      </c>
      <c r="E35" s="51">
        <f t="shared" si="8"/>
        <v>-3520</v>
      </c>
      <c r="F35" s="51">
        <f t="shared" si="8"/>
        <v>-3520</v>
      </c>
      <c r="G35" s="51">
        <f t="shared" si="8"/>
        <v>-40670</v>
      </c>
      <c r="H35" s="51">
        <f t="shared" si="8"/>
        <v>-3520</v>
      </c>
      <c r="I35" s="51">
        <f t="shared" si="8"/>
        <v>-3520</v>
      </c>
      <c r="J35" s="51">
        <f t="shared" si="8"/>
        <v>-3520</v>
      </c>
      <c r="K35" s="51">
        <f t="shared" si="8"/>
        <v>-40669</v>
      </c>
      <c r="L35" s="51">
        <f t="shared" si="8"/>
        <v>-3519</v>
      </c>
      <c r="M35" s="51">
        <f t="shared" si="8"/>
        <v>-59160</v>
      </c>
      <c r="N35" s="52">
        <f t="shared" si="8"/>
        <v>-3517</v>
      </c>
      <c r="O35" s="53">
        <f t="shared" si="8"/>
        <v>0</v>
      </c>
    </row>
    <row r="36" spans="1:17" ht="15.75" thickBot="1">
      <c r="A36" s="20" t="s">
        <v>2</v>
      </c>
      <c r="B36" s="21" t="s">
        <v>3</v>
      </c>
      <c r="C36" s="21" t="s">
        <v>4</v>
      </c>
      <c r="D36" s="21" t="s">
        <v>5</v>
      </c>
      <c r="E36" s="21" t="s">
        <v>6</v>
      </c>
      <c r="F36" s="21" t="s">
        <v>7</v>
      </c>
      <c r="G36" s="21" t="s">
        <v>8</v>
      </c>
      <c r="H36" s="21" t="s">
        <v>9</v>
      </c>
      <c r="I36" s="21" t="s">
        <v>10</v>
      </c>
      <c r="J36" s="21" t="s">
        <v>11</v>
      </c>
      <c r="K36" s="21" t="s">
        <v>12</v>
      </c>
      <c r="L36" s="21" t="s">
        <v>13</v>
      </c>
      <c r="M36" s="21" t="s">
        <v>14</v>
      </c>
      <c r="N36" s="35" t="s">
        <v>15</v>
      </c>
      <c r="O36" s="36" t="s">
        <v>232</v>
      </c>
    </row>
    <row r="37" spans="1:17">
      <c r="A37" s="376" t="s">
        <v>34</v>
      </c>
      <c r="B37" s="377"/>
      <c r="C37" s="377"/>
      <c r="D37" s="377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"/>
    </row>
    <row r="38" spans="1:17">
      <c r="A38" s="379" t="s">
        <v>268</v>
      </c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1"/>
    </row>
    <row r="39" spans="1:17" ht="15.75" thickBot="1">
      <c r="A39" s="364" t="s">
        <v>269</v>
      </c>
      <c r="B39" s="365"/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6"/>
    </row>
    <row r="40" spans="1:17">
      <c r="A40" s="38" t="s">
        <v>19</v>
      </c>
      <c r="B40" s="39">
        <f>SUM(B41)</f>
        <v>597644</v>
      </c>
      <c r="C40" s="39">
        <f t="shared" ref="C40:N40" si="9">SUM(C41)</f>
        <v>220000</v>
      </c>
      <c r="D40" s="39">
        <f t="shared" si="9"/>
        <v>216650</v>
      </c>
      <c r="E40" s="39">
        <f t="shared" si="9"/>
        <v>48889</v>
      </c>
      <c r="F40" s="39">
        <f t="shared" si="9"/>
        <v>0</v>
      </c>
      <c r="G40" s="39">
        <f t="shared" si="9"/>
        <v>0</v>
      </c>
      <c r="H40" s="39">
        <f t="shared" si="9"/>
        <v>0</v>
      </c>
      <c r="I40" s="39">
        <f t="shared" si="9"/>
        <v>0</v>
      </c>
      <c r="J40" s="39">
        <f t="shared" si="9"/>
        <v>0</v>
      </c>
      <c r="K40" s="39">
        <f t="shared" si="9"/>
        <v>0</v>
      </c>
      <c r="L40" s="39">
        <f t="shared" si="9"/>
        <v>0</v>
      </c>
      <c r="M40" s="39">
        <f t="shared" si="9"/>
        <v>0</v>
      </c>
      <c r="N40" s="39">
        <f t="shared" si="9"/>
        <v>0</v>
      </c>
      <c r="O40" s="40">
        <f>SUM(O41:O41)</f>
        <v>485539</v>
      </c>
      <c r="Q40" t="s">
        <v>252</v>
      </c>
    </row>
    <row r="41" spans="1:17">
      <c r="A41" s="41" t="s">
        <v>27</v>
      </c>
      <c r="B41" s="42">
        <v>597644</v>
      </c>
      <c r="C41" s="42">
        <v>220000</v>
      </c>
      <c r="D41" s="42">
        <v>216650</v>
      </c>
      <c r="E41" s="42">
        <v>48889</v>
      </c>
      <c r="F41" s="42"/>
      <c r="G41" s="42"/>
      <c r="H41" s="42"/>
      <c r="I41" s="42"/>
      <c r="J41" s="42"/>
      <c r="K41" s="42"/>
      <c r="L41" s="42"/>
      <c r="M41" s="42"/>
      <c r="N41" s="43"/>
      <c r="O41" s="44">
        <f>SUM(C41:N41)</f>
        <v>485539</v>
      </c>
    </row>
    <row r="42" spans="1:17">
      <c r="A42" s="38" t="s">
        <v>20</v>
      </c>
      <c r="B42" s="39">
        <f t="shared" ref="B42:N42" si="10">SUM(B43:B43)</f>
        <v>597644</v>
      </c>
      <c r="C42" s="39">
        <f t="shared" si="10"/>
        <v>220000</v>
      </c>
      <c r="D42" s="39">
        <f t="shared" si="10"/>
        <v>216660</v>
      </c>
      <c r="E42" s="39">
        <f t="shared" si="10"/>
        <v>73814</v>
      </c>
      <c r="F42" s="39">
        <f t="shared" si="10"/>
        <v>68850</v>
      </c>
      <c r="G42" s="39">
        <f t="shared" si="10"/>
        <v>18320</v>
      </c>
      <c r="H42" s="39">
        <f t="shared" si="10"/>
        <v>0</v>
      </c>
      <c r="I42" s="39">
        <f t="shared" si="10"/>
        <v>0</v>
      </c>
      <c r="J42" s="39">
        <f t="shared" si="10"/>
        <v>0</v>
      </c>
      <c r="K42" s="39">
        <f t="shared" si="10"/>
        <v>0</v>
      </c>
      <c r="L42" s="39">
        <f t="shared" si="10"/>
        <v>0</v>
      </c>
      <c r="M42" s="39">
        <f t="shared" si="10"/>
        <v>0</v>
      </c>
      <c r="N42" s="39">
        <f t="shared" si="10"/>
        <v>0</v>
      </c>
      <c r="O42" s="45">
        <f>SUM(C42:N42)</f>
        <v>597644</v>
      </c>
    </row>
    <row r="43" spans="1:17">
      <c r="A43" s="46" t="s">
        <v>21</v>
      </c>
      <c r="B43" s="47">
        <v>597644</v>
      </c>
      <c r="C43" s="47">
        <v>220000</v>
      </c>
      <c r="D43" s="47">
        <v>216660</v>
      </c>
      <c r="E43" s="47">
        <v>73814</v>
      </c>
      <c r="F43" s="47">
        <v>68850</v>
      </c>
      <c r="G43" s="47">
        <v>18320</v>
      </c>
      <c r="H43" s="47"/>
      <c r="I43" s="47"/>
      <c r="J43" s="47"/>
      <c r="K43" s="47"/>
      <c r="L43" s="47"/>
      <c r="M43" s="47"/>
      <c r="N43" s="48"/>
      <c r="O43" s="49">
        <f>SUM(C43:N43)</f>
        <v>597644</v>
      </c>
    </row>
    <row r="44" spans="1:17" ht="15.75" thickBot="1">
      <c r="A44" s="50" t="s">
        <v>22</v>
      </c>
      <c r="B44" s="51">
        <f t="shared" ref="B44:O44" si="11">SUM(B40-B42)</f>
        <v>0</v>
      </c>
      <c r="C44" s="51">
        <f t="shared" si="11"/>
        <v>0</v>
      </c>
      <c r="D44" s="51">
        <f t="shared" si="11"/>
        <v>-10</v>
      </c>
      <c r="E44" s="51">
        <f t="shared" si="11"/>
        <v>-24925</v>
      </c>
      <c r="F44" s="51">
        <f t="shared" si="11"/>
        <v>-68850</v>
      </c>
      <c r="G44" s="51">
        <f t="shared" si="11"/>
        <v>-18320</v>
      </c>
      <c r="H44" s="51">
        <f t="shared" si="11"/>
        <v>0</v>
      </c>
      <c r="I44" s="51">
        <f t="shared" si="11"/>
        <v>0</v>
      </c>
      <c r="J44" s="51">
        <f t="shared" si="11"/>
        <v>0</v>
      </c>
      <c r="K44" s="51">
        <f t="shared" si="11"/>
        <v>0</v>
      </c>
      <c r="L44" s="51">
        <f t="shared" si="11"/>
        <v>0</v>
      </c>
      <c r="M44" s="51">
        <f t="shared" si="11"/>
        <v>0</v>
      </c>
      <c r="N44" s="52">
        <f t="shared" si="11"/>
        <v>0</v>
      </c>
      <c r="O44" s="53">
        <f t="shared" si="11"/>
        <v>-112105</v>
      </c>
    </row>
    <row r="45" spans="1:17" s="4" customFormat="1" ht="15.75" thickBot="1">
      <c r="A45" s="308" t="s">
        <v>283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</row>
    <row r="46" spans="1:17" ht="15.75" thickBot="1">
      <c r="A46" s="20" t="s">
        <v>2</v>
      </c>
      <c r="B46" s="21" t="s">
        <v>3</v>
      </c>
      <c r="C46" s="21" t="s">
        <v>4</v>
      </c>
      <c r="D46" s="21" t="s">
        <v>5</v>
      </c>
      <c r="E46" s="21" t="s">
        <v>6</v>
      </c>
      <c r="F46" s="21" t="s">
        <v>7</v>
      </c>
      <c r="G46" s="21" t="s">
        <v>8</v>
      </c>
      <c r="H46" s="21" t="s">
        <v>9</v>
      </c>
      <c r="I46" s="21" t="s">
        <v>10</v>
      </c>
      <c r="J46" s="21" t="s">
        <v>11</v>
      </c>
      <c r="K46" s="21" t="s">
        <v>12</v>
      </c>
      <c r="L46" s="21" t="s">
        <v>13</v>
      </c>
      <c r="M46" s="21" t="s">
        <v>14</v>
      </c>
      <c r="N46" s="35" t="s">
        <v>15</v>
      </c>
      <c r="O46" s="36" t="s">
        <v>232</v>
      </c>
    </row>
    <row r="47" spans="1:17">
      <c r="A47" s="376" t="s">
        <v>34</v>
      </c>
      <c r="B47" s="377"/>
      <c r="C47" s="377"/>
      <c r="D47" s="377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"/>
    </row>
    <row r="48" spans="1:17">
      <c r="A48" s="379" t="s">
        <v>39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1"/>
    </row>
    <row r="49" spans="1:17" ht="15.75" thickBot="1">
      <c r="A49" s="364" t="s">
        <v>18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6"/>
    </row>
    <row r="50" spans="1:17">
      <c r="A50" s="55" t="s">
        <v>40</v>
      </c>
      <c r="B50" s="39">
        <f>SUM(B51+B57)</f>
        <v>19895079</v>
      </c>
      <c r="C50" s="39">
        <f t="shared" ref="C50:N50" si="12">SUM(C51+C57)</f>
        <v>4250</v>
      </c>
      <c r="D50" s="39">
        <f t="shared" si="12"/>
        <v>9928</v>
      </c>
      <c r="E50" s="39">
        <f t="shared" si="12"/>
        <v>6322720</v>
      </c>
      <c r="F50" s="39">
        <f t="shared" si="12"/>
        <v>0</v>
      </c>
      <c r="G50" s="39">
        <f t="shared" si="12"/>
        <v>0</v>
      </c>
      <c r="H50" s="39">
        <f t="shared" si="12"/>
        <v>4916907</v>
      </c>
      <c r="I50" s="39">
        <f t="shared" si="12"/>
        <v>0</v>
      </c>
      <c r="J50" s="39">
        <f t="shared" si="12"/>
        <v>0</v>
      </c>
      <c r="K50" s="39">
        <f t="shared" si="12"/>
        <v>4923706</v>
      </c>
      <c r="L50" s="39">
        <f t="shared" si="12"/>
        <v>0</v>
      </c>
      <c r="M50" s="39">
        <f t="shared" si="12"/>
        <v>0</v>
      </c>
      <c r="N50" s="39">
        <f t="shared" si="12"/>
        <v>4258</v>
      </c>
      <c r="O50" s="40">
        <f>SUM(C50:N50)</f>
        <v>16181769</v>
      </c>
      <c r="Q50" t="s">
        <v>252</v>
      </c>
    </row>
    <row r="51" spans="1:17" s="4" customFormat="1">
      <c r="A51" s="38" t="s">
        <v>41</v>
      </c>
      <c r="B51" s="39">
        <f>SUM(B52:B56)</f>
        <v>70036</v>
      </c>
      <c r="C51" s="39">
        <f t="shared" ref="C51:N51" si="13">SUM(C52:C56)</f>
        <v>4250</v>
      </c>
      <c r="D51" s="39">
        <f t="shared" si="13"/>
        <v>9928</v>
      </c>
      <c r="E51" s="39">
        <f t="shared" si="13"/>
        <v>0</v>
      </c>
      <c r="F51" s="39">
        <f t="shared" si="13"/>
        <v>0</v>
      </c>
      <c r="G51" s="39">
        <f t="shared" si="13"/>
        <v>0</v>
      </c>
      <c r="H51" s="39">
        <f t="shared" si="13"/>
        <v>4250</v>
      </c>
      <c r="I51" s="39">
        <f t="shared" si="13"/>
        <v>0</v>
      </c>
      <c r="J51" s="39">
        <f t="shared" si="13"/>
        <v>0</v>
      </c>
      <c r="K51" s="39">
        <f t="shared" si="13"/>
        <v>22365</v>
      </c>
      <c r="L51" s="39">
        <f t="shared" si="13"/>
        <v>0</v>
      </c>
      <c r="M51" s="39">
        <f t="shared" si="13"/>
        <v>0</v>
      </c>
      <c r="N51" s="39">
        <f t="shared" si="13"/>
        <v>4258</v>
      </c>
      <c r="O51" s="54">
        <f>SUM(C51:N51)</f>
        <v>45051</v>
      </c>
    </row>
    <row r="52" spans="1:17" s="4" customFormat="1">
      <c r="A52" s="41" t="s">
        <v>27</v>
      </c>
      <c r="B52" s="42">
        <v>64358</v>
      </c>
      <c r="C52" s="42">
        <v>4250</v>
      </c>
      <c r="D52" s="42">
        <v>4250</v>
      </c>
      <c r="E52" s="42"/>
      <c r="F52" s="42"/>
      <c r="G52" s="42"/>
      <c r="H52" s="42">
        <v>4250</v>
      </c>
      <c r="I52" s="42"/>
      <c r="J52" s="42"/>
      <c r="K52" s="42">
        <v>22365</v>
      </c>
      <c r="L52" s="42"/>
      <c r="M52" s="42"/>
      <c r="N52" s="43">
        <v>4258</v>
      </c>
      <c r="O52" s="44">
        <f>SUM(C52:N52)</f>
        <v>39373</v>
      </c>
    </row>
    <row r="53" spans="1:17" s="4" customFormat="1">
      <c r="A53" s="41" t="s">
        <v>42</v>
      </c>
      <c r="B53" s="42">
        <v>1136</v>
      </c>
      <c r="C53" s="42"/>
      <c r="D53" s="42">
        <v>1136</v>
      </c>
      <c r="E53" s="42"/>
      <c r="F53" s="42"/>
      <c r="G53" s="42"/>
      <c r="H53" s="42"/>
      <c r="I53" s="42"/>
      <c r="J53" s="42"/>
      <c r="K53" s="42"/>
      <c r="L53" s="42"/>
      <c r="M53" s="42"/>
      <c r="N53" s="43"/>
      <c r="O53" s="44">
        <f t="shared" ref="O53:O56" si="14">SUM(C53:N53)</f>
        <v>1136</v>
      </c>
    </row>
    <row r="54" spans="1:17" s="4" customFormat="1">
      <c r="A54" s="41" t="s">
        <v>24</v>
      </c>
      <c r="B54" s="42">
        <v>1703</v>
      </c>
      <c r="C54" s="42"/>
      <c r="D54" s="42">
        <v>1703</v>
      </c>
      <c r="E54" s="42"/>
      <c r="F54" s="42"/>
      <c r="G54" s="42"/>
      <c r="H54" s="42"/>
      <c r="I54" s="42"/>
      <c r="J54" s="42"/>
      <c r="K54" s="42"/>
      <c r="L54" s="42"/>
      <c r="M54" s="42"/>
      <c r="N54" s="43"/>
      <c r="O54" s="44">
        <f t="shared" si="14"/>
        <v>1703</v>
      </c>
    </row>
    <row r="55" spans="1:17" s="4" customFormat="1">
      <c r="A55" s="41" t="s">
        <v>26</v>
      </c>
      <c r="B55" s="42">
        <v>1703</v>
      </c>
      <c r="C55" s="42"/>
      <c r="D55" s="42">
        <v>1703</v>
      </c>
      <c r="E55" s="42"/>
      <c r="F55" s="42"/>
      <c r="G55" s="42"/>
      <c r="H55" s="42"/>
      <c r="I55" s="42"/>
      <c r="J55" s="42"/>
      <c r="K55" s="42"/>
      <c r="L55" s="42"/>
      <c r="M55" s="42"/>
      <c r="N55" s="43"/>
      <c r="O55" s="44">
        <f t="shared" si="14"/>
        <v>1703</v>
      </c>
    </row>
    <row r="56" spans="1:17" s="4" customFormat="1">
      <c r="A56" s="41" t="s">
        <v>25</v>
      </c>
      <c r="B56" s="42">
        <v>1136</v>
      </c>
      <c r="C56" s="42"/>
      <c r="D56" s="42">
        <v>1136</v>
      </c>
      <c r="E56" s="42"/>
      <c r="F56" s="42"/>
      <c r="G56" s="42"/>
      <c r="H56" s="42"/>
      <c r="I56" s="42"/>
      <c r="J56" s="42"/>
      <c r="K56" s="42"/>
      <c r="L56" s="42"/>
      <c r="M56" s="42"/>
      <c r="N56" s="43"/>
      <c r="O56" s="44">
        <f t="shared" si="14"/>
        <v>1136</v>
      </c>
    </row>
    <row r="57" spans="1:17" s="4" customFormat="1">
      <c r="A57" s="38" t="s">
        <v>43</v>
      </c>
      <c r="B57" s="39">
        <f>SUM(B58:B62)</f>
        <v>19825043</v>
      </c>
      <c r="C57" s="39">
        <f t="shared" ref="C57:N57" si="15">SUM(C58:C62)</f>
        <v>0</v>
      </c>
      <c r="D57" s="39">
        <f t="shared" si="15"/>
        <v>0</v>
      </c>
      <c r="E57" s="39">
        <f t="shared" si="15"/>
        <v>6322720</v>
      </c>
      <c r="F57" s="39">
        <f t="shared" si="15"/>
        <v>0</v>
      </c>
      <c r="G57" s="39">
        <f t="shared" si="15"/>
        <v>0</v>
      </c>
      <c r="H57" s="39">
        <f t="shared" si="15"/>
        <v>4912657</v>
      </c>
      <c r="I57" s="39">
        <f t="shared" si="15"/>
        <v>0</v>
      </c>
      <c r="J57" s="39">
        <f t="shared" si="15"/>
        <v>0</v>
      </c>
      <c r="K57" s="39">
        <f t="shared" si="15"/>
        <v>4901341</v>
      </c>
      <c r="L57" s="39">
        <f t="shared" si="15"/>
        <v>0</v>
      </c>
      <c r="M57" s="39">
        <f t="shared" si="15"/>
        <v>0</v>
      </c>
      <c r="N57" s="39">
        <f t="shared" si="15"/>
        <v>0</v>
      </c>
      <c r="O57" s="54">
        <f>SUM(C57:N57)</f>
        <v>16136718</v>
      </c>
    </row>
    <row r="58" spans="1:17">
      <c r="A58" s="41" t="s">
        <v>27</v>
      </c>
      <c r="B58" s="42">
        <v>17926063</v>
      </c>
      <c r="C58" s="42"/>
      <c r="D58" s="42"/>
      <c r="E58" s="42">
        <v>4423740</v>
      </c>
      <c r="F58" s="42"/>
      <c r="G58" s="42"/>
      <c r="H58" s="42">
        <v>4912657</v>
      </c>
      <c r="I58" s="42"/>
      <c r="J58" s="42"/>
      <c r="K58" s="42">
        <v>4901341</v>
      </c>
      <c r="L58" s="42"/>
      <c r="M58" s="42"/>
      <c r="N58" s="43"/>
      <c r="O58" s="44">
        <f>SUM(C58:N58)</f>
        <v>14237738</v>
      </c>
      <c r="Q58" t="s">
        <v>286</v>
      </c>
    </row>
    <row r="59" spans="1:17" s="4" customFormat="1">
      <c r="A59" s="41" t="s">
        <v>42</v>
      </c>
      <c r="B59" s="42">
        <v>386342</v>
      </c>
      <c r="C59" s="42"/>
      <c r="D59" s="42"/>
      <c r="E59" s="42">
        <v>386342</v>
      </c>
      <c r="F59" s="42"/>
      <c r="G59" s="42"/>
      <c r="H59" s="42"/>
      <c r="I59" s="42"/>
      <c r="J59" s="42"/>
      <c r="K59" s="42"/>
      <c r="L59" s="42"/>
      <c r="M59" s="42"/>
      <c r="N59" s="43"/>
      <c r="O59" s="44">
        <f t="shared" ref="O59:O62" si="16">SUM(C59:N59)</f>
        <v>386342</v>
      </c>
    </row>
    <row r="60" spans="1:17" s="4" customFormat="1">
      <c r="A60" s="41" t="s">
        <v>24</v>
      </c>
      <c r="B60" s="42">
        <v>579513</v>
      </c>
      <c r="C60" s="42"/>
      <c r="D60" s="42"/>
      <c r="E60" s="42">
        <v>579513</v>
      </c>
      <c r="F60" s="42"/>
      <c r="G60" s="42"/>
      <c r="H60" s="42"/>
      <c r="I60" s="42"/>
      <c r="J60" s="42"/>
      <c r="K60" s="42"/>
      <c r="L60" s="42"/>
      <c r="M60" s="42"/>
      <c r="N60" s="43"/>
      <c r="O60" s="44">
        <f t="shared" si="16"/>
        <v>579513</v>
      </c>
    </row>
    <row r="61" spans="1:17" s="4" customFormat="1">
      <c r="A61" s="41" t="s">
        <v>26</v>
      </c>
      <c r="B61" s="42">
        <v>579513</v>
      </c>
      <c r="C61" s="42"/>
      <c r="D61" s="42"/>
      <c r="E61" s="42">
        <v>579513</v>
      </c>
      <c r="F61" s="42"/>
      <c r="G61" s="42"/>
      <c r="H61" s="42"/>
      <c r="I61" s="42"/>
      <c r="J61" s="42"/>
      <c r="K61" s="42"/>
      <c r="L61" s="42"/>
      <c r="M61" s="42"/>
      <c r="N61" s="43"/>
      <c r="O61" s="44">
        <f t="shared" si="16"/>
        <v>579513</v>
      </c>
    </row>
    <row r="62" spans="1:17" s="4" customFormat="1">
      <c r="A62" s="41" t="s">
        <v>25</v>
      </c>
      <c r="B62" s="42">
        <v>353612</v>
      </c>
      <c r="C62" s="42"/>
      <c r="D62" s="42"/>
      <c r="E62" s="42">
        <v>353612</v>
      </c>
      <c r="F62" s="42"/>
      <c r="G62" s="42"/>
      <c r="H62" s="42"/>
      <c r="I62" s="42"/>
      <c r="J62" s="42"/>
      <c r="K62" s="42"/>
      <c r="L62" s="42"/>
      <c r="M62" s="42"/>
      <c r="N62" s="43"/>
      <c r="O62" s="44">
        <f t="shared" si="16"/>
        <v>353612</v>
      </c>
    </row>
    <row r="63" spans="1:17">
      <c r="A63" s="38" t="s">
        <v>44</v>
      </c>
      <c r="B63" s="39">
        <f>SUM(B64:B65)</f>
        <v>22650247</v>
      </c>
      <c r="C63" s="39">
        <f t="shared" ref="C63:N63" si="17">SUM(C64:C65)</f>
        <v>5000</v>
      </c>
      <c r="D63" s="39">
        <f t="shared" si="17"/>
        <v>5000</v>
      </c>
      <c r="E63" s="39">
        <f t="shared" si="17"/>
        <v>5000</v>
      </c>
      <c r="F63" s="39">
        <f t="shared" si="17"/>
        <v>6395641</v>
      </c>
      <c r="G63" s="39">
        <f t="shared" si="17"/>
        <v>5000</v>
      </c>
      <c r="H63" s="39">
        <f t="shared" si="17"/>
        <v>5000</v>
      </c>
      <c r="I63" s="39">
        <f t="shared" si="17"/>
        <v>5784597</v>
      </c>
      <c r="J63" s="39">
        <f t="shared" si="17"/>
        <v>5000</v>
      </c>
      <c r="K63" s="39">
        <f t="shared" si="17"/>
        <v>5000</v>
      </c>
      <c r="L63" s="39">
        <f t="shared" si="17"/>
        <v>7097863</v>
      </c>
      <c r="M63" s="39">
        <f t="shared" si="17"/>
        <v>5000</v>
      </c>
      <c r="N63" s="39">
        <f t="shared" si="17"/>
        <v>3402868</v>
      </c>
      <c r="O63" s="45">
        <f>SUM(C63:N63)</f>
        <v>22720969</v>
      </c>
    </row>
    <row r="64" spans="1:17" s="4" customFormat="1">
      <c r="A64" s="46" t="s">
        <v>45</v>
      </c>
      <c r="B64" s="47">
        <v>5000</v>
      </c>
      <c r="C64" s="47">
        <v>5000</v>
      </c>
      <c r="D64" s="47">
        <v>5000</v>
      </c>
      <c r="E64" s="47">
        <v>5000</v>
      </c>
      <c r="F64" s="47">
        <v>5000</v>
      </c>
      <c r="G64" s="47">
        <v>5000</v>
      </c>
      <c r="H64" s="47">
        <v>5000</v>
      </c>
      <c r="I64" s="47">
        <v>5000</v>
      </c>
      <c r="J64" s="47">
        <v>5000</v>
      </c>
      <c r="K64" s="47">
        <v>5000</v>
      </c>
      <c r="L64" s="47">
        <v>5000</v>
      </c>
      <c r="M64" s="47">
        <v>5000</v>
      </c>
      <c r="N64" s="48">
        <v>20722</v>
      </c>
      <c r="O64" s="49">
        <f>SUM(C64:N64)</f>
        <v>75722</v>
      </c>
    </row>
    <row r="65" spans="1:16">
      <c r="A65" s="46" t="s">
        <v>46</v>
      </c>
      <c r="B65" s="47">
        <v>22645247</v>
      </c>
      <c r="C65" s="47"/>
      <c r="D65" s="47"/>
      <c r="E65" s="47"/>
      <c r="F65" s="47">
        <v>6390641</v>
      </c>
      <c r="G65" s="47"/>
      <c r="H65" s="47"/>
      <c r="I65" s="47">
        <v>5779597</v>
      </c>
      <c r="J65" s="47"/>
      <c r="K65" s="47"/>
      <c r="L65" s="47">
        <v>7092863</v>
      </c>
      <c r="M65" s="47"/>
      <c r="N65" s="48">
        <v>3382146</v>
      </c>
      <c r="O65" s="49">
        <f>SUM(C65:N65)</f>
        <v>22645247</v>
      </c>
    </row>
    <row r="66" spans="1:16" ht="15.75" thickBot="1">
      <c r="A66" s="50" t="s">
        <v>22</v>
      </c>
      <c r="B66" s="51">
        <f>SUM(B50-B63)</f>
        <v>-2755168</v>
      </c>
      <c r="C66" s="51">
        <f t="shared" ref="C66:N66" si="18">SUM(C50-C63)</f>
        <v>-750</v>
      </c>
      <c r="D66" s="51">
        <f t="shared" si="18"/>
        <v>4928</v>
      </c>
      <c r="E66" s="51">
        <f t="shared" si="18"/>
        <v>6317720</v>
      </c>
      <c r="F66" s="51">
        <f t="shared" si="18"/>
        <v>-6395641</v>
      </c>
      <c r="G66" s="51">
        <f t="shared" si="18"/>
        <v>-5000</v>
      </c>
      <c r="H66" s="51">
        <f t="shared" si="18"/>
        <v>4911907</v>
      </c>
      <c r="I66" s="51">
        <f t="shared" si="18"/>
        <v>-5784597</v>
      </c>
      <c r="J66" s="51">
        <f t="shared" si="18"/>
        <v>-5000</v>
      </c>
      <c r="K66" s="51">
        <f t="shared" si="18"/>
        <v>4918706</v>
      </c>
      <c r="L66" s="51">
        <f t="shared" si="18"/>
        <v>-7097863</v>
      </c>
      <c r="M66" s="51">
        <f t="shared" si="18"/>
        <v>-5000</v>
      </c>
      <c r="N66" s="51">
        <f t="shared" si="18"/>
        <v>-3398610</v>
      </c>
      <c r="O66" s="53">
        <f>SUM(C66:N66)</f>
        <v>-6539200</v>
      </c>
      <c r="P66" s="123">
        <f>SUM(O66-B66)</f>
        <v>-3784032</v>
      </c>
    </row>
    <row r="67" spans="1:16" s="4" customFormat="1">
      <c r="A67" s="308" t="s">
        <v>285</v>
      </c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123"/>
    </row>
    <row r="68" spans="1:16" s="4" customFormat="1" ht="15.75" thickBot="1">
      <c r="A68" s="308" t="s">
        <v>287</v>
      </c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123"/>
    </row>
    <row r="69" spans="1:16" ht="15.75" thickBot="1">
      <c r="A69" s="236" t="s">
        <v>2</v>
      </c>
      <c r="B69" s="237" t="s">
        <v>3</v>
      </c>
      <c r="C69" s="237" t="s">
        <v>4</v>
      </c>
      <c r="D69" s="237" t="s">
        <v>5</v>
      </c>
      <c r="E69" s="237" t="s">
        <v>6</v>
      </c>
      <c r="F69" s="237" t="s">
        <v>7</v>
      </c>
      <c r="G69" s="237" t="s">
        <v>8</v>
      </c>
      <c r="H69" s="237" t="s">
        <v>9</v>
      </c>
      <c r="I69" s="237" t="s">
        <v>10</v>
      </c>
      <c r="J69" s="237" t="s">
        <v>11</v>
      </c>
      <c r="K69" s="237" t="s">
        <v>12</v>
      </c>
      <c r="L69" s="237" t="s">
        <v>13</v>
      </c>
      <c r="M69" s="237" t="s">
        <v>14</v>
      </c>
      <c r="N69" s="254" t="s">
        <v>15</v>
      </c>
      <c r="O69" s="255" t="s">
        <v>232</v>
      </c>
    </row>
    <row r="70" spans="1:16">
      <c r="A70" s="370" t="s">
        <v>34</v>
      </c>
      <c r="B70" s="371"/>
      <c r="C70" s="371"/>
      <c r="D70" s="371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256"/>
    </row>
    <row r="71" spans="1:16">
      <c r="A71" s="373" t="s">
        <v>49</v>
      </c>
      <c r="B71" s="374"/>
      <c r="C71" s="374"/>
      <c r="D71" s="374"/>
      <c r="E71" s="374"/>
      <c r="F71" s="374"/>
      <c r="G71" s="374"/>
      <c r="H71" s="374"/>
      <c r="I71" s="374"/>
      <c r="J71" s="374"/>
      <c r="K71" s="374"/>
      <c r="L71" s="374"/>
      <c r="M71" s="374"/>
      <c r="N71" s="374"/>
      <c r="O71" s="375"/>
    </row>
    <row r="72" spans="1:16" ht="15.75" thickBot="1">
      <c r="A72" s="367" t="s">
        <v>38</v>
      </c>
      <c r="B72" s="368"/>
      <c r="C72" s="368"/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9"/>
    </row>
    <row r="73" spans="1:16">
      <c r="A73" s="248" t="s">
        <v>19</v>
      </c>
      <c r="B73" s="249">
        <f t="shared" ref="B73:N73" si="19">SUM(B74:B74)</f>
        <v>1176790</v>
      </c>
      <c r="C73" s="249">
        <f t="shared" si="19"/>
        <v>137030</v>
      </c>
      <c r="D73" s="249">
        <f t="shared" si="19"/>
        <v>126952</v>
      </c>
      <c r="E73" s="249">
        <f t="shared" si="19"/>
        <v>277983</v>
      </c>
      <c r="F73" s="249">
        <f t="shared" si="19"/>
        <v>211600</v>
      </c>
      <c r="G73" s="249">
        <f t="shared" si="19"/>
        <v>247646</v>
      </c>
      <c r="H73" s="249">
        <f t="shared" si="19"/>
        <v>86516</v>
      </c>
      <c r="I73" s="249">
        <f t="shared" si="19"/>
        <v>9589</v>
      </c>
      <c r="J73" s="249">
        <f t="shared" si="19"/>
        <v>2564</v>
      </c>
      <c r="K73" s="249">
        <f t="shared" si="19"/>
        <v>14302</v>
      </c>
      <c r="L73" s="249">
        <f t="shared" si="19"/>
        <v>14301</v>
      </c>
      <c r="M73" s="249">
        <f t="shared" si="19"/>
        <v>25405</v>
      </c>
      <c r="N73" s="249">
        <f t="shared" si="19"/>
        <v>22902</v>
      </c>
      <c r="O73" s="242">
        <f t="shared" ref="O73:O77" si="20">SUM(C73:N73)</f>
        <v>1176790</v>
      </c>
    </row>
    <row r="74" spans="1:16" s="231" customFormat="1">
      <c r="A74" s="175" t="s">
        <v>271</v>
      </c>
      <c r="B74" s="176">
        <f>1111413+65377</f>
        <v>1176790</v>
      </c>
      <c r="C74" s="176">
        <v>137030</v>
      </c>
      <c r="D74" s="176">
        <v>126952</v>
      </c>
      <c r="E74" s="176">
        <v>277983</v>
      </c>
      <c r="F74" s="176">
        <v>211600</v>
      </c>
      <c r="G74" s="176">
        <v>247646</v>
      </c>
      <c r="H74" s="176">
        <v>86516</v>
      </c>
      <c r="I74" s="176">
        <v>9589</v>
      </c>
      <c r="J74" s="176">
        <v>2564</v>
      </c>
      <c r="K74" s="176">
        <v>14302</v>
      </c>
      <c r="L74" s="176">
        <v>14301</v>
      </c>
      <c r="M74" s="176">
        <v>25405</v>
      </c>
      <c r="N74" s="177">
        <v>22902</v>
      </c>
      <c r="O74" s="178">
        <f t="shared" si="20"/>
        <v>1176790</v>
      </c>
    </row>
    <row r="75" spans="1:16">
      <c r="A75" s="248" t="s">
        <v>20</v>
      </c>
      <c r="B75" s="249">
        <f t="shared" ref="B75:N75" si="21">SUM(B76:B76)</f>
        <v>1286019</v>
      </c>
      <c r="C75" s="249">
        <f t="shared" si="21"/>
        <v>137030</v>
      </c>
      <c r="D75" s="249">
        <f t="shared" si="21"/>
        <v>126952</v>
      </c>
      <c r="E75" s="249">
        <f t="shared" si="21"/>
        <v>277983</v>
      </c>
      <c r="F75" s="249">
        <f t="shared" si="21"/>
        <v>211600</v>
      </c>
      <c r="G75" s="249">
        <f t="shared" si="21"/>
        <v>247646</v>
      </c>
      <c r="H75" s="249">
        <f t="shared" si="21"/>
        <v>86516</v>
      </c>
      <c r="I75" s="249">
        <f t="shared" si="21"/>
        <v>9589</v>
      </c>
      <c r="J75" s="249">
        <f t="shared" si="21"/>
        <v>2564</v>
      </c>
      <c r="K75" s="249">
        <f t="shared" si="21"/>
        <v>14302</v>
      </c>
      <c r="L75" s="249">
        <f t="shared" si="21"/>
        <v>14301</v>
      </c>
      <c r="M75" s="249">
        <f t="shared" si="21"/>
        <v>25405</v>
      </c>
      <c r="N75" s="249">
        <f t="shared" si="21"/>
        <v>132131</v>
      </c>
      <c r="O75" s="250">
        <f t="shared" si="20"/>
        <v>1286019</v>
      </c>
    </row>
    <row r="76" spans="1:16">
      <c r="A76" s="232" t="s">
        <v>21</v>
      </c>
      <c r="B76" s="233">
        <v>1286019</v>
      </c>
      <c r="C76" s="233">
        <v>137030</v>
      </c>
      <c r="D76" s="233">
        <v>126952</v>
      </c>
      <c r="E76" s="233">
        <v>277983</v>
      </c>
      <c r="F76" s="233">
        <v>211600</v>
      </c>
      <c r="G76" s="233">
        <v>247646</v>
      </c>
      <c r="H76" s="233">
        <v>86516</v>
      </c>
      <c r="I76" s="233">
        <v>9589</v>
      </c>
      <c r="J76" s="233">
        <v>2564</v>
      </c>
      <c r="K76" s="233">
        <v>14302</v>
      </c>
      <c r="L76" s="233">
        <v>14301</v>
      </c>
      <c r="M76" s="233">
        <v>25405</v>
      </c>
      <c r="N76" s="234">
        <v>132131</v>
      </c>
      <c r="O76" s="235">
        <f t="shared" si="20"/>
        <v>1286019</v>
      </c>
    </row>
    <row r="77" spans="1:16" ht="15.75" thickBot="1">
      <c r="A77" s="258" t="s">
        <v>22</v>
      </c>
      <c r="B77" s="252">
        <f t="shared" ref="B77:N77" si="22">SUM(B73-B75)</f>
        <v>-109229</v>
      </c>
      <c r="C77" s="252">
        <f t="shared" si="22"/>
        <v>0</v>
      </c>
      <c r="D77" s="252">
        <f t="shared" si="22"/>
        <v>0</v>
      </c>
      <c r="E77" s="252">
        <f t="shared" si="22"/>
        <v>0</v>
      </c>
      <c r="F77" s="252">
        <f t="shared" si="22"/>
        <v>0</v>
      </c>
      <c r="G77" s="252">
        <f t="shared" si="22"/>
        <v>0</v>
      </c>
      <c r="H77" s="252">
        <f t="shared" si="22"/>
        <v>0</v>
      </c>
      <c r="I77" s="252">
        <f t="shared" si="22"/>
        <v>0</v>
      </c>
      <c r="J77" s="252">
        <f t="shared" si="22"/>
        <v>0</v>
      </c>
      <c r="K77" s="252">
        <f t="shared" si="22"/>
        <v>0</v>
      </c>
      <c r="L77" s="252">
        <f t="shared" si="22"/>
        <v>0</v>
      </c>
      <c r="M77" s="252">
        <f t="shared" si="22"/>
        <v>0</v>
      </c>
      <c r="N77" s="312">
        <f t="shared" si="22"/>
        <v>-109229</v>
      </c>
      <c r="O77" s="253">
        <f t="shared" si="20"/>
        <v>-109229</v>
      </c>
    </row>
    <row r="78" spans="1:16" ht="15.75" thickBot="1">
      <c r="A78" s="20" t="s">
        <v>2</v>
      </c>
      <c r="B78" s="21" t="s">
        <v>3</v>
      </c>
      <c r="C78" s="21" t="s">
        <v>4</v>
      </c>
      <c r="D78" s="21" t="s">
        <v>5</v>
      </c>
      <c r="E78" s="21" t="s">
        <v>6</v>
      </c>
      <c r="F78" s="21" t="s">
        <v>7</v>
      </c>
      <c r="G78" s="21" t="s">
        <v>8</v>
      </c>
      <c r="H78" s="21" t="s">
        <v>9</v>
      </c>
      <c r="I78" s="21" t="s">
        <v>10</v>
      </c>
      <c r="J78" s="21" t="s">
        <v>11</v>
      </c>
      <c r="K78" s="21" t="s">
        <v>12</v>
      </c>
      <c r="L78" s="21" t="s">
        <v>13</v>
      </c>
      <c r="M78" s="21" t="s">
        <v>14</v>
      </c>
      <c r="N78" s="35" t="s">
        <v>15</v>
      </c>
      <c r="O78" s="36" t="s">
        <v>232</v>
      </c>
    </row>
    <row r="79" spans="1:16">
      <c r="A79" s="376" t="s">
        <v>34</v>
      </c>
      <c r="B79" s="377"/>
      <c r="C79" s="377"/>
      <c r="D79" s="377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"/>
    </row>
    <row r="80" spans="1:16">
      <c r="A80" s="379" t="s">
        <v>50</v>
      </c>
      <c r="B80" s="380"/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1"/>
    </row>
    <row r="81" spans="1:15" ht="15.75" thickBot="1">
      <c r="A81" s="364" t="s">
        <v>30</v>
      </c>
      <c r="B81" s="365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6"/>
    </row>
    <row r="82" spans="1:15">
      <c r="A82" s="38" t="s">
        <v>19</v>
      </c>
      <c r="B82" s="39">
        <f t="shared" ref="B82:O82" si="23">SUM(B83:B83)</f>
        <v>170613</v>
      </c>
      <c r="C82" s="39">
        <f t="shared" si="23"/>
        <v>0</v>
      </c>
      <c r="D82" s="39">
        <f t="shared" si="23"/>
        <v>170613</v>
      </c>
      <c r="E82" s="39">
        <f t="shared" si="23"/>
        <v>0</v>
      </c>
      <c r="F82" s="39">
        <f t="shared" si="23"/>
        <v>0</v>
      </c>
      <c r="G82" s="39">
        <f t="shared" si="23"/>
        <v>0</v>
      </c>
      <c r="H82" s="39">
        <f t="shared" si="23"/>
        <v>0</v>
      </c>
      <c r="I82" s="39">
        <f t="shared" si="23"/>
        <v>0</v>
      </c>
      <c r="J82" s="39">
        <f t="shared" si="23"/>
        <v>0</v>
      </c>
      <c r="K82" s="39">
        <f t="shared" si="23"/>
        <v>0</v>
      </c>
      <c r="L82" s="39">
        <f t="shared" si="23"/>
        <v>0</v>
      </c>
      <c r="M82" s="39">
        <f t="shared" si="23"/>
        <v>0</v>
      </c>
      <c r="N82" s="39">
        <f t="shared" si="23"/>
        <v>0</v>
      </c>
      <c r="O82" s="40">
        <f t="shared" si="23"/>
        <v>170613</v>
      </c>
    </row>
    <row r="83" spans="1:15" s="231" customFormat="1">
      <c r="A83" s="175" t="s">
        <v>271</v>
      </c>
      <c r="B83" s="176">
        <f>161874+8739</f>
        <v>170613</v>
      </c>
      <c r="C83" s="176"/>
      <c r="D83" s="176">
        <v>170613</v>
      </c>
      <c r="E83" s="176"/>
      <c r="F83" s="176"/>
      <c r="G83" s="176"/>
      <c r="H83" s="176"/>
      <c r="I83" s="176"/>
      <c r="J83" s="176"/>
      <c r="K83" s="176"/>
      <c r="L83" s="176"/>
      <c r="M83" s="176"/>
      <c r="N83" s="177"/>
      <c r="O83" s="178">
        <f>SUM(C83:N83)</f>
        <v>170613</v>
      </c>
    </row>
    <row r="84" spans="1:15">
      <c r="A84" s="38" t="s">
        <v>20</v>
      </c>
      <c r="B84" s="39">
        <f t="shared" ref="B84:N84" si="24">SUM(B85:B85)</f>
        <v>170613</v>
      </c>
      <c r="C84" s="39">
        <f t="shared" si="24"/>
        <v>2492</v>
      </c>
      <c r="D84" s="39">
        <f t="shared" si="24"/>
        <v>2610</v>
      </c>
      <c r="E84" s="39">
        <f t="shared" si="24"/>
        <v>2494</v>
      </c>
      <c r="F84" s="39">
        <f t="shared" si="24"/>
        <v>8624</v>
      </c>
      <c r="G84" s="39">
        <f t="shared" si="24"/>
        <v>2494</v>
      </c>
      <c r="H84" s="39">
        <f t="shared" si="24"/>
        <v>2491</v>
      </c>
      <c r="I84" s="39">
        <f t="shared" si="24"/>
        <v>127203</v>
      </c>
      <c r="J84" s="39">
        <f t="shared" si="24"/>
        <v>0</v>
      </c>
      <c r="K84" s="39">
        <f t="shared" si="24"/>
        <v>0</v>
      </c>
      <c r="L84" s="39">
        <f t="shared" si="24"/>
        <v>16067</v>
      </c>
      <c r="M84" s="39">
        <f t="shared" si="24"/>
        <v>0</v>
      </c>
      <c r="N84" s="39">
        <f t="shared" si="24"/>
        <v>6138</v>
      </c>
      <c r="O84" s="45">
        <f>SUM(C84:N84)</f>
        <v>170613</v>
      </c>
    </row>
    <row r="85" spans="1:15">
      <c r="A85" s="46" t="s">
        <v>21</v>
      </c>
      <c r="B85" s="47">
        <v>170613</v>
      </c>
      <c r="C85" s="47">
        <v>2492</v>
      </c>
      <c r="D85" s="47">
        <v>2610</v>
      </c>
      <c r="E85" s="47">
        <v>2494</v>
      </c>
      <c r="F85" s="47">
        <v>8624</v>
      </c>
      <c r="G85" s="47">
        <v>2494</v>
      </c>
      <c r="H85" s="47">
        <v>2491</v>
      </c>
      <c r="I85" s="47">
        <v>127203</v>
      </c>
      <c r="J85" s="47"/>
      <c r="K85" s="47"/>
      <c r="L85" s="47">
        <v>16067</v>
      </c>
      <c r="M85" s="47"/>
      <c r="N85" s="48">
        <v>6138</v>
      </c>
      <c r="O85" s="49">
        <f>SUM(C85:N85)</f>
        <v>170613</v>
      </c>
    </row>
    <row r="86" spans="1:15" ht="15.75" thickBot="1">
      <c r="A86" s="50" t="s">
        <v>22</v>
      </c>
      <c r="B86" s="51">
        <f t="shared" ref="B86:O86" si="25">SUM(B82-B84)</f>
        <v>0</v>
      </c>
      <c r="C86" s="51">
        <f t="shared" si="25"/>
        <v>-2492</v>
      </c>
      <c r="D86" s="51">
        <f t="shared" si="25"/>
        <v>168003</v>
      </c>
      <c r="E86" s="51">
        <f t="shared" si="25"/>
        <v>-2494</v>
      </c>
      <c r="F86" s="51">
        <f t="shared" si="25"/>
        <v>-8624</v>
      </c>
      <c r="G86" s="51">
        <f t="shared" si="25"/>
        <v>-2494</v>
      </c>
      <c r="H86" s="51">
        <f t="shared" si="25"/>
        <v>-2491</v>
      </c>
      <c r="I86" s="51">
        <f t="shared" si="25"/>
        <v>-127203</v>
      </c>
      <c r="J86" s="51">
        <f t="shared" si="25"/>
        <v>0</v>
      </c>
      <c r="K86" s="51">
        <f t="shared" si="25"/>
        <v>0</v>
      </c>
      <c r="L86" s="51">
        <f t="shared" si="25"/>
        <v>-16067</v>
      </c>
      <c r="M86" s="51">
        <f t="shared" si="25"/>
        <v>0</v>
      </c>
      <c r="N86" s="52">
        <f t="shared" si="25"/>
        <v>-6138</v>
      </c>
      <c r="O86" s="53">
        <f t="shared" si="25"/>
        <v>0</v>
      </c>
    </row>
    <row r="87" spans="1:15" ht="15.75" thickBot="1">
      <c r="A87" s="20" t="s">
        <v>2</v>
      </c>
      <c r="B87" s="21" t="s">
        <v>3</v>
      </c>
      <c r="C87" s="21" t="s">
        <v>4</v>
      </c>
      <c r="D87" s="21" t="s">
        <v>5</v>
      </c>
      <c r="E87" s="21" t="s">
        <v>6</v>
      </c>
      <c r="F87" s="21" t="s">
        <v>7</v>
      </c>
      <c r="G87" s="21" t="s">
        <v>8</v>
      </c>
      <c r="H87" s="21" t="s">
        <v>9</v>
      </c>
      <c r="I87" s="21" t="s">
        <v>10</v>
      </c>
      <c r="J87" s="21" t="s">
        <v>11</v>
      </c>
      <c r="K87" s="21" t="s">
        <v>12</v>
      </c>
      <c r="L87" s="21" t="s">
        <v>13</v>
      </c>
      <c r="M87" s="21" t="s">
        <v>14</v>
      </c>
      <c r="N87" s="35" t="s">
        <v>15</v>
      </c>
      <c r="O87" s="36" t="s">
        <v>232</v>
      </c>
    </row>
    <row r="88" spans="1:15">
      <c r="A88" s="376" t="s">
        <v>34</v>
      </c>
      <c r="B88" s="377"/>
      <c r="C88" s="377"/>
      <c r="D88" s="377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"/>
    </row>
    <row r="89" spans="1:15">
      <c r="A89" s="379" t="s">
        <v>51</v>
      </c>
      <c r="B89" s="380"/>
      <c r="C89" s="38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1"/>
    </row>
    <row r="90" spans="1:15" ht="15.75" thickBot="1">
      <c r="A90" s="364" t="s">
        <v>35</v>
      </c>
      <c r="B90" s="365"/>
      <c r="C90" s="365"/>
      <c r="D90" s="365"/>
      <c r="E90" s="365"/>
      <c r="F90" s="365"/>
      <c r="G90" s="365"/>
      <c r="H90" s="365"/>
      <c r="I90" s="365"/>
      <c r="J90" s="365"/>
      <c r="K90" s="365"/>
      <c r="L90" s="365"/>
      <c r="M90" s="365"/>
      <c r="N90" s="365"/>
      <c r="O90" s="366"/>
    </row>
    <row r="91" spans="1:15">
      <c r="A91" s="38" t="s">
        <v>19</v>
      </c>
      <c r="B91" s="39">
        <f t="shared" ref="B91:N91" si="26">SUM(B92:B92)</f>
        <v>293178</v>
      </c>
      <c r="C91" s="39">
        <f t="shared" si="26"/>
        <v>0</v>
      </c>
      <c r="D91" s="39">
        <f t="shared" si="26"/>
        <v>0</v>
      </c>
      <c r="E91" s="39">
        <f t="shared" si="26"/>
        <v>86063</v>
      </c>
      <c r="F91" s="39">
        <f t="shared" si="26"/>
        <v>0</v>
      </c>
      <c r="G91" s="39">
        <f t="shared" si="26"/>
        <v>0</v>
      </c>
      <c r="H91" s="39">
        <f t="shared" si="26"/>
        <v>85300</v>
      </c>
      <c r="I91" s="39">
        <f t="shared" si="26"/>
        <v>0</v>
      </c>
      <c r="J91" s="39">
        <f t="shared" si="26"/>
        <v>0</v>
      </c>
      <c r="K91" s="39">
        <f t="shared" si="26"/>
        <v>41232</v>
      </c>
      <c r="L91" s="39">
        <f t="shared" si="26"/>
        <v>0</v>
      </c>
      <c r="M91" s="39">
        <f t="shared" si="26"/>
        <v>0</v>
      </c>
      <c r="N91" s="39">
        <f t="shared" si="26"/>
        <v>80583</v>
      </c>
      <c r="O91" s="40">
        <f>SUM(C91:N91)</f>
        <v>293178</v>
      </c>
    </row>
    <row r="92" spans="1:15">
      <c r="A92" s="41" t="s">
        <v>271</v>
      </c>
      <c r="B92" s="42">
        <f>268167+25011</f>
        <v>293178</v>
      </c>
      <c r="C92" s="42"/>
      <c r="D92" s="42"/>
      <c r="E92" s="42">
        <v>86063</v>
      </c>
      <c r="F92" s="42"/>
      <c r="G92" s="42"/>
      <c r="H92" s="42">
        <v>85300</v>
      </c>
      <c r="I92" s="42"/>
      <c r="J92" s="42"/>
      <c r="K92" s="42">
        <v>41232</v>
      </c>
      <c r="L92" s="42"/>
      <c r="M92" s="42"/>
      <c r="N92" s="43">
        <f>84121-3538</f>
        <v>80583</v>
      </c>
      <c r="O92" s="44">
        <f>SUM(C92:N92)</f>
        <v>293178</v>
      </c>
    </row>
    <row r="93" spans="1:15">
      <c r="A93" s="38" t="s">
        <v>20</v>
      </c>
      <c r="B93" s="39">
        <f t="shared" ref="B93:N93" si="27">SUM(B94:B94)</f>
        <v>296716</v>
      </c>
      <c r="C93" s="39">
        <f t="shared" si="27"/>
        <v>21566</v>
      </c>
      <c r="D93" s="39">
        <f t="shared" si="27"/>
        <v>21566</v>
      </c>
      <c r="E93" s="39">
        <f t="shared" si="27"/>
        <v>32899</v>
      </c>
      <c r="F93" s="39">
        <f t="shared" si="27"/>
        <v>21566</v>
      </c>
      <c r="G93" s="39">
        <f t="shared" si="27"/>
        <v>21566</v>
      </c>
      <c r="H93" s="39">
        <f t="shared" si="27"/>
        <v>23241</v>
      </c>
      <c r="I93" s="39">
        <f t="shared" si="27"/>
        <v>21566</v>
      </c>
      <c r="J93" s="39">
        <f t="shared" si="27"/>
        <v>21566</v>
      </c>
      <c r="K93" s="39">
        <f t="shared" si="27"/>
        <v>21565</v>
      </c>
      <c r="L93" s="39">
        <f t="shared" si="27"/>
        <v>21563</v>
      </c>
      <c r="M93" s="39">
        <f t="shared" si="27"/>
        <v>23236</v>
      </c>
      <c r="N93" s="39">
        <f t="shared" si="27"/>
        <v>44816</v>
      </c>
      <c r="O93" s="45">
        <f>SUM(C93:N93)</f>
        <v>296716</v>
      </c>
    </row>
    <row r="94" spans="1:15">
      <c r="A94" s="46" t="s">
        <v>21</v>
      </c>
      <c r="B94" s="47">
        <v>296716</v>
      </c>
      <c r="C94" s="47">
        <v>21566</v>
      </c>
      <c r="D94" s="47">
        <v>21566</v>
      </c>
      <c r="E94" s="47">
        <v>32899</v>
      </c>
      <c r="F94" s="47">
        <v>21566</v>
      </c>
      <c r="G94" s="47">
        <v>21566</v>
      </c>
      <c r="H94" s="47">
        <v>23241</v>
      </c>
      <c r="I94" s="47">
        <v>21566</v>
      </c>
      <c r="J94" s="47">
        <v>21566</v>
      </c>
      <c r="K94" s="47">
        <v>21565</v>
      </c>
      <c r="L94" s="47">
        <v>21563</v>
      </c>
      <c r="M94" s="47">
        <v>23236</v>
      </c>
      <c r="N94" s="48">
        <v>44816</v>
      </c>
      <c r="O94" s="49">
        <f>SUM(C94:N94)</f>
        <v>296716</v>
      </c>
    </row>
    <row r="95" spans="1:15" ht="15.75" thickBot="1">
      <c r="A95" s="50" t="s">
        <v>22</v>
      </c>
      <c r="B95" s="51">
        <f t="shared" ref="B95:O95" si="28">SUM(B91-B93)</f>
        <v>-3538</v>
      </c>
      <c r="C95" s="51">
        <f t="shared" si="28"/>
        <v>-21566</v>
      </c>
      <c r="D95" s="51">
        <f t="shared" si="28"/>
        <v>-21566</v>
      </c>
      <c r="E95" s="51">
        <f t="shared" si="28"/>
        <v>53164</v>
      </c>
      <c r="F95" s="51">
        <f t="shared" si="28"/>
        <v>-21566</v>
      </c>
      <c r="G95" s="51">
        <f t="shared" si="28"/>
        <v>-21566</v>
      </c>
      <c r="H95" s="51">
        <f t="shared" si="28"/>
        <v>62059</v>
      </c>
      <c r="I95" s="51">
        <f t="shared" si="28"/>
        <v>-21566</v>
      </c>
      <c r="J95" s="51">
        <f t="shared" si="28"/>
        <v>-21566</v>
      </c>
      <c r="K95" s="51">
        <f t="shared" si="28"/>
        <v>19667</v>
      </c>
      <c r="L95" s="51">
        <f t="shared" si="28"/>
        <v>-21563</v>
      </c>
      <c r="M95" s="51">
        <f t="shared" si="28"/>
        <v>-23236</v>
      </c>
      <c r="N95" s="52">
        <f t="shared" si="28"/>
        <v>35767</v>
      </c>
      <c r="O95" s="53">
        <f t="shared" si="28"/>
        <v>-3538</v>
      </c>
    </row>
    <row r="96" spans="1:15" ht="15.75" thickBot="1">
      <c r="A96" s="20" t="s">
        <v>2</v>
      </c>
      <c r="B96" s="21" t="s">
        <v>3</v>
      </c>
      <c r="C96" s="21" t="s">
        <v>4</v>
      </c>
      <c r="D96" s="21" t="s">
        <v>5</v>
      </c>
      <c r="E96" s="21" t="s">
        <v>6</v>
      </c>
      <c r="F96" s="21" t="s">
        <v>7</v>
      </c>
      <c r="G96" s="21" t="s">
        <v>8</v>
      </c>
      <c r="H96" s="21" t="s">
        <v>9</v>
      </c>
      <c r="I96" s="21" t="s">
        <v>10</v>
      </c>
      <c r="J96" s="21" t="s">
        <v>11</v>
      </c>
      <c r="K96" s="21" t="s">
        <v>12</v>
      </c>
      <c r="L96" s="21" t="s">
        <v>13</v>
      </c>
      <c r="M96" s="21" t="s">
        <v>14</v>
      </c>
      <c r="N96" s="35" t="s">
        <v>15</v>
      </c>
      <c r="O96" s="36" t="s">
        <v>232</v>
      </c>
    </row>
    <row r="97" spans="1:17">
      <c r="A97" s="376" t="s">
        <v>34</v>
      </c>
      <c r="B97" s="377"/>
      <c r="C97" s="377"/>
      <c r="D97" s="377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"/>
    </row>
    <row r="98" spans="1:17">
      <c r="A98" s="379" t="s">
        <v>270</v>
      </c>
      <c r="B98" s="380"/>
      <c r="C98" s="380"/>
      <c r="D98" s="380"/>
      <c r="E98" s="380"/>
      <c r="F98" s="380"/>
      <c r="G98" s="380"/>
      <c r="H98" s="380"/>
      <c r="I98" s="380"/>
      <c r="J98" s="380"/>
      <c r="K98" s="380"/>
      <c r="L98" s="380"/>
      <c r="M98" s="380"/>
      <c r="N98" s="380"/>
      <c r="O98" s="381"/>
    </row>
    <row r="99" spans="1:17" ht="15.75" thickBot="1">
      <c r="A99" s="364" t="s">
        <v>37</v>
      </c>
      <c r="B99" s="365"/>
      <c r="C99" s="365"/>
      <c r="D99" s="365"/>
      <c r="E99" s="365"/>
      <c r="F99" s="365"/>
      <c r="G99" s="365"/>
      <c r="H99" s="365"/>
      <c r="I99" s="365"/>
      <c r="J99" s="365"/>
      <c r="K99" s="365"/>
      <c r="L99" s="365"/>
      <c r="M99" s="365"/>
      <c r="N99" s="365"/>
      <c r="O99" s="366"/>
    </row>
    <row r="100" spans="1:17">
      <c r="A100" s="38" t="s">
        <v>19</v>
      </c>
      <c r="B100" s="39">
        <f t="shared" ref="B100:O100" si="29">SUM(B101:B101)</f>
        <v>75944</v>
      </c>
      <c r="C100" s="39">
        <f t="shared" si="29"/>
        <v>7829</v>
      </c>
      <c r="D100" s="39">
        <f t="shared" si="29"/>
        <v>6875</v>
      </c>
      <c r="E100" s="39">
        <f t="shared" si="29"/>
        <v>8868</v>
      </c>
      <c r="F100" s="39">
        <f t="shared" si="29"/>
        <v>5136</v>
      </c>
      <c r="G100" s="39">
        <f t="shared" si="29"/>
        <v>2687</v>
      </c>
      <c r="H100" s="39">
        <f t="shared" si="29"/>
        <v>3834</v>
      </c>
      <c r="I100" s="39">
        <f t="shared" si="29"/>
        <v>1318</v>
      </c>
      <c r="J100" s="39">
        <f t="shared" si="29"/>
        <v>1319</v>
      </c>
      <c r="K100" s="39">
        <f t="shared" si="29"/>
        <v>3768</v>
      </c>
      <c r="L100" s="39">
        <f t="shared" si="29"/>
        <v>8172</v>
      </c>
      <c r="M100" s="39">
        <f t="shared" si="29"/>
        <v>8925</v>
      </c>
      <c r="N100" s="39">
        <f t="shared" si="29"/>
        <v>17213</v>
      </c>
      <c r="O100" s="40">
        <f t="shared" si="29"/>
        <v>75944</v>
      </c>
    </row>
    <row r="101" spans="1:17">
      <c r="A101" s="175" t="s">
        <v>271</v>
      </c>
      <c r="B101" s="176">
        <f>69411+6533</f>
        <v>75944</v>
      </c>
      <c r="C101" s="42">
        <v>7829</v>
      </c>
      <c r="D101" s="42">
        <v>6875</v>
      </c>
      <c r="E101" s="42">
        <v>8868</v>
      </c>
      <c r="F101" s="42">
        <v>5136</v>
      </c>
      <c r="G101" s="42">
        <v>2687</v>
      </c>
      <c r="H101" s="42">
        <v>3834</v>
      </c>
      <c r="I101" s="42">
        <v>1318</v>
      </c>
      <c r="J101" s="42">
        <v>1319</v>
      </c>
      <c r="K101" s="42">
        <v>3768</v>
      </c>
      <c r="L101" s="42">
        <v>8172</v>
      </c>
      <c r="M101" s="42">
        <v>8925</v>
      </c>
      <c r="N101" s="43">
        <v>17213</v>
      </c>
      <c r="O101" s="44">
        <f>SUM(C101:N101)</f>
        <v>75944</v>
      </c>
    </row>
    <row r="102" spans="1:17">
      <c r="A102" s="38" t="s">
        <v>20</v>
      </c>
      <c r="B102" s="39">
        <f t="shared" ref="B102:N102" si="30">SUM(B103:B103)</f>
        <v>75944</v>
      </c>
      <c r="C102" s="39">
        <f t="shared" si="30"/>
        <v>7829</v>
      </c>
      <c r="D102" s="39">
        <f t="shared" si="30"/>
        <v>6875</v>
      </c>
      <c r="E102" s="39">
        <f t="shared" si="30"/>
        <v>8868</v>
      </c>
      <c r="F102" s="39">
        <f t="shared" si="30"/>
        <v>5136</v>
      </c>
      <c r="G102" s="39">
        <f t="shared" si="30"/>
        <v>2687</v>
      </c>
      <c r="H102" s="39">
        <f t="shared" si="30"/>
        <v>3834</v>
      </c>
      <c r="I102" s="39">
        <f t="shared" si="30"/>
        <v>1318</v>
      </c>
      <c r="J102" s="39">
        <f t="shared" si="30"/>
        <v>1319</v>
      </c>
      <c r="K102" s="39">
        <f t="shared" si="30"/>
        <v>3768</v>
      </c>
      <c r="L102" s="39">
        <f t="shared" si="30"/>
        <v>8172</v>
      </c>
      <c r="M102" s="39">
        <f t="shared" si="30"/>
        <v>8925</v>
      </c>
      <c r="N102" s="39">
        <f t="shared" si="30"/>
        <v>17213</v>
      </c>
      <c r="O102" s="45">
        <f>SUM(C102:N102)</f>
        <v>75944</v>
      </c>
    </row>
    <row r="103" spans="1:17">
      <c r="A103" s="46" t="s">
        <v>21</v>
      </c>
      <c r="B103" s="47">
        <v>75944</v>
      </c>
      <c r="C103" s="47">
        <v>7829</v>
      </c>
      <c r="D103" s="47">
        <v>6875</v>
      </c>
      <c r="E103" s="47">
        <v>8868</v>
      </c>
      <c r="F103" s="47">
        <v>5136</v>
      </c>
      <c r="G103" s="47">
        <v>2687</v>
      </c>
      <c r="H103" s="47">
        <v>3834</v>
      </c>
      <c r="I103" s="47">
        <v>1318</v>
      </c>
      <c r="J103" s="47">
        <v>1319</v>
      </c>
      <c r="K103" s="47">
        <v>3768</v>
      </c>
      <c r="L103" s="47">
        <v>8172</v>
      </c>
      <c r="M103" s="47">
        <v>8925</v>
      </c>
      <c r="N103" s="48">
        <v>17213</v>
      </c>
      <c r="O103" s="49">
        <f>SUM(C103:N103)</f>
        <v>75944</v>
      </c>
    </row>
    <row r="104" spans="1:17" ht="15.75" thickBot="1">
      <c r="A104" s="50" t="s">
        <v>22</v>
      </c>
      <c r="B104" s="51">
        <f t="shared" ref="B104:O104" si="31">SUM(B100-B102)</f>
        <v>0</v>
      </c>
      <c r="C104" s="51">
        <f t="shared" si="31"/>
        <v>0</v>
      </c>
      <c r="D104" s="51">
        <f t="shared" si="31"/>
        <v>0</v>
      </c>
      <c r="E104" s="51">
        <f t="shared" si="31"/>
        <v>0</v>
      </c>
      <c r="F104" s="51">
        <f t="shared" si="31"/>
        <v>0</v>
      </c>
      <c r="G104" s="51">
        <f t="shared" si="31"/>
        <v>0</v>
      </c>
      <c r="H104" s="51">
        <f t="shared" si="31"/>
        <v>0</v>
      </c>
      <c r="I104" s="51">
        <f t="shared" si="31"/>
        <v>0</v>
      </c>
      <c r="J104" s="51">
        <f t="shared" si="31"/>
        <v>0</v>
      </c>
      <c r="K104" s="51">
        <f t="shared" si="31"/>
        <v>0</v>
      </c>
      <c r="L104" s="51">
        <f t="shared" si="31"/>
        <v>0</v>
      </c>
      <c r="M104" s="51">
        <f t="shared" si="31"/>
        <v>0</v>
      </c>
      <c r="N104" s="52">
        <f t="shared" si="31"/>
        <v>0</v>
      </c>
      <c r="O104" s="53">
        <f t="shared" si="31"/>
        <v>0</v>
      </c>
    </row>
    <row r="105" spans="1:17" ht="15.75" thickBot="1">
      <c r="A105" s="236" t="s">
        <v>2</v>
      </c>
      <c r="B105" s="237" t="s">
        <v>3</v>
      </c>
      <c r="C105" s="237" t="s">
        <v>4</v>
      </c>
      <c r="D105" s="237" t="s">
        <v>5</v>
      </c>
      <c r="E105" s="237" t="s">
        <v>6</v>
      </c>
      <c r="F105" s="237" t="s">
        <v>7</v>
      </c>
      <c r="G105" s="237" t="s">
        <v>8</v>
      </c>
      <c r="H105" s="237" t="s">
        <v>9</v>
      </c>
      <c r="I105" s="237" t="s">
        <v>10</v>
      </c>
      <c r="J105" s="237" t="s">
        <v>11</v>
      </c>
      <c r="K105" s="237" t="s">
        <v>12</v>
      </c>
      <c r="L105" s="237" t="s">
        <v>13</v>
      </c>
      <c r="M105" s="237" t="s">
        <v>14</v>
      </c>
      <c r="N105" s="254" t="s">
        <v>15</v>
      </c>
      <c r="O105" s="255" t="s">
        <v>232</v>
      </c>
    </row>
    <row r="106" spans="1:17">
      <c r="A106" s="370" t="s">
        <v>34</v>
      </c>
      <c r="B106" s="371"/>
      <c r="C106" s="371"/>
      <c r="D106" s="371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256"/>
    </row>
    <row r="107" spans="1:17">
      <c r="A107" s="373" t="s">
        <v>29</v>
      </c>
      <c r="B107" s="374"/>
      <c r="C107" s="374"/>
      <c r="D107" s="374"/>
      <c r="E107" s="374"/>
      <c r="F107" s="374"/>
      <c r="G107" s="374"/>
      <c r="H107" s="374"/>
      <c r="I107" s="374"/>
      <c r="J107" s="374"/>
      <c r="K107" s="374"/>
      <c r="L107" s="374"/>
      <c r="M107" s="374"/>
      <c r="N107" s="374"/>
      <c r="O107" s="375"/>
    </row>
    <row r="108" spans="1:17" ht="15.75" thickBot="1">
      <c r="A108" s="367" t="s">
        <v>18</v>
      </c>
      <c r="B108" s="368"/>
      <c r="C108" s="368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9"/>
    </row>
    <row r="109" spans="1:17">
      <c r="A109" s="248" t="s">
        <v>47</v>
      </c>
      <c r="B109" s="249">
        <f t="shared" ref="B109:N109" si="32">SUM(B110+B113)</f>
        <v>1553696</v>
      </c>
      <c r="C109" s="249">
        <f t="shared" si="32"/>
        <v>0</v>
      </c>
      <c r="D109" s="249">
        <f t="shared" si="32"/>
        <v>9337</v>
      </c>
      <c r="E109" s="249">
        <f t="shared" si="32"/>
        <v>0</v>
      </c>
      <c r="F109" s="249">
        <f t="shared" si="32"/>
        <v>8606</v>
      </c>
      <c r="G109" s="249">
        <f t="shared" si="32"/>
        <v>0</v>
      </c>
      <c r="H109" s="249">
        <f t="shared" si="32"/>
        <v>0</v>
      </c>
      <c r="I109" s="249">
        <f t="shared" si="32"/>
        <v>8606</v>
      </c>
      <c r="J109" s="249">
        <f t="shared" si="32"/>
        <v>1279694</v>
      </c>
      <c r="K109" s="249">
        <f t="shared" si="32"/>
        <v>5738</v>
      </c>
      <c r="L109" s="249">
        <f t="shared" si="32"/>
        <v>225827</v>
      </c>
      <c r="M109" s="249">
        <f t="shared" si="32"/>
        <v>13750</v>
      </c>
      <c r="N109" s="249">
        <f t="shared" si="32"/>
        <v>8606</v>
      </c>
      <c r="O109" s="242">
        <f t="shared" ref="O109:O119" si="33">SUM(C109:N109)</f>
        <v>1560164</v>
      </c>
    </row>
    <row r="110" spans="1:17">
      <c r="A110" s="248" t="s">
        <v>41</v>
      </c>
      <c r="B110" s="249">
        <f t="shared" ref="B110:N110" si="34">SUM(B111:B111)</f>
        <v>34425</v>
      </c>
      <c r="C110" s="249">
        <f t="shared" si="34"/>
        <v>0</v>
      </c>
      <c r="D110" s="249">
        <f t="shared" si="34"/>
        <v>8586</v>
      </c>
      <c r="E110" s="249">
        <f t="shared" si="34"/>
        <v>0</v>
      </c>
      <c r="F110" s="249">
        <f t="shared" si="34"/>
        <v>8606</v>
      </c>
      <c r="G110" s="249">
        <f t="shared" si="34"/>
        <v>0</v>
      </c>
      <c r="H110" s="249">
        <f t="shared" si="34"/>
        <v>0</v>
      </c>
      <c r="I110" s="249">
        <f t="shared" si="34"/>
        <v>8606</v>
      </c>
      <c r="J110" s="249">
        <f t="shared" si="34"/>
        <v>0</v>
      </c>
      <c r="K110" s="249">
        <f t="shared" si="34"/>
        <v>5738</v>
      </c>
      <c r="L110" s="249">
        <f t="shared" si="34"/>
        <v>0</v>
      </c>
      <c r="M110" s="249">
        <f t="shared" si="34"/>
        <v>0</v>
      </c>
      <c r="N110" s="249">
        <f t="shared" si="34"/>
        <v>8606</v>
      </c>
      <c r="O110" s="257">
        <f t="shared" si="33"/>
        <v>40142</v>
      </c>
    </row>
    <row r="111" spans="1:17">
      <c r="A111" s="175" t="s">
        <v>27</v>
      </c>
      <c r="B111" s="176">
        <v>34425</v>
      </c>
      <c r="C111" s="176"/>
      <c r="D111" s="176">
        <v>8586</v>
      </c>
      <c r="E111" s="176"/>
      <c r="F111" s="176">
        <v>8606</v>
      </c>
      <c r="G111" s="176"/>
      <c r="H111" s="176"/>
      <c r="I111" s="176">
        <v>8606</v>
      </c>
      <c r="J111" s="176"/>
      <c r="K111" s="176">
        <v>5738</v>
      </c>
      <c r="L111" s="176"/>
      <c r="M111" s="176"/>
      <c r="N111" s="177">
        <v>8606</v>
      </c>
      <c r="O111" s="178">
        <f t="shared" si="33"/>
        <v>40142</v>
      </c>
      <c r="Q111" t="s">
        <v>252</v>
      </c>
    </row>
    <row r="112" spans="1:17" s="4" customFormat="1">
      <c r="A112" s="175" t="s">
        <v>288</v>
      </c>
      <c r="B112" s="176">
        <v>6075</v>
      </c>
      <c r="C112" s="176"/>
      <c r="D112" s="176">
        <v>1515</v>
      </c>
      <c r="E112" s="176"/>
      <c r="F112" s="176"/>
      <c r="G112" s="176">
        <v>1519</v>
      </c>
      <c r="H112" s="176"/>
      <c r="I112" s="176"/>
      <c r="J112" s="176">
        <v>1519</v>
      </c>
      <c r="K112" s="176"/>
      <c r="L112" s="176">
        <v>1519</v>
      </c>
      <c r="M112" s="176"/>
      <c r="N112" s="177"/>
      <c r="O112" s="178">
        <f t="shared" si="33"/>
        <v>6072</v>
      </c>
      <c r="Q112" s="4" t="s">
        <v>286</v>
      </c>
    </row>
    <row r="113" spans="1:17">
      <c r="A113" s="248" t="s">
        <v>43</v>
      </c>
      <c r="B113" s="249">
        <f>SUM(B114:B115)</f>
        <v>1519271</v>
      </c>
      <c r="C113" s="249">
        <f t="shared" ref="C113:N113" si="35">SUM(C114:C115)</f>
        <v>0</v>
      </c>
      <c r="D113" s="249">
        <f t="shared" si="35"/>
        <v>751</v>
      </c>
      <c r="E113" s="249">
        <f t="shared" si="35"/>
        <v>0</v>
      </c>
      <c r="F113" s="249">
        <f t="shared" si="35"/>
        <v>0</v>
      </c>
      <c r="G113" s="249">
        <f t="shared" si="35"/>
        <v>0</v>
      </c>
      <c r="H113" s="249">
        <f t="shared" si="35"/>
        <v>0</v>
      </c>
      <c r="I113" s="249">
        <f t="shared" si="35"/>
        <v>0</v>
      </c>
      <c r="J113" s="249">
        <f t="shared" si="35"/>
        <v>1279694</v>
      </c>
      <c r="K113" s="249">
        <f t="shared" si="35"/>
        <v>0</v>
      </c>
      <c r="L113" s="249">
        <f t="shared" si="35"/>
        <v>225827</v>
      </c>
      <c r="M113" s="249">
        <f t="shared" si="35"/>
        <v>13750</v>
      </c>
      <c r="N113" s="249">
        <f t="shared" si="35"/>
        <v>0</v>
      </c>
      <c r="O113" s="257">
        <f t="shared" si="33"/>
        <v>1520022</v>
      </c>
      <c r="Q113" t="s">
        <v>291</v>
      </c>
    </row>
    <row r="114" spans="1:17">
      <c r="A114" s="175" t="s">
        <v>27</v>
      </c>
      <c r="B114" s="176">
        <v>1291380</v>
      </c>
      <c r="C114" s="176"/>
      <c r="D114" s="176">
        <v>638</v>
      </c>
      <c r="E114" s="176"/>
      <c r="F114" s="176"/>
      <c r="G114" s="176"/>
      <c r="H114" s="176"/>
      <c r="I114" s="176"/>
      <c r="J114" s="176">
        <v>1279694</v>
      </c>
      <c r="K114" s="176"/>
      <c r="L114" s="176"/>
      <c r="M114" s="176">
        <v>11686</v>
      </c>
      <c r="N114" s="177"/>
      <c r="O114" s="178">
        <f t="shared" si="33"/>
        <v>1292018</v>
      </c>
    </row>
    <row r="115" spans="1:17" s="4" customFormat="1">
      <c r="A115" s="175" t="s">
        <v>288</v>
      </c>
      <c r="B115" s="176">
        <v>227891</v>
      </c>
      <c r="C115" s="176"/>
      <c r="D115" s="176">
        <v>113</v>
      </c>
      <c r="E115" s="176"/>
      <c r="F115" s="176"/>
      <c r="G115" s="176"/>
      <c r="H115" s="176"/>
      <c r="I115" s="176"/>
      <c r="J115" s="176"/>
      <c r="K115" s="176"/>
      <c r="L115" s="176">
        <v>225827</v>
      </c>
      <c r="M115" s="176">
        <v>2064</v>
      </c>
      <c r="N115" s="177"/>
      <c r="O115" s="178">
        <f t="shared" si="33"/>
        <v>228004</v>
      </c>
    </row>
    <row r="116" spans="1:17">
      <c r="A116" s="248" t="s">
        <v>48</v>
      </c>
      <c r="B116" s="249">
        <f>SUM(B117:B118)</f>
        <v>1909204</v>
      </c>
      <c r="C116" s="249">
        <f t="shared" ref="C116" si="36">SUM(C117:C118)</f>
        <v>3375</v>
      </c>
      <c r="D116" s="249">
        <f t="shared" ref="D116" si="37">SUM(D117:D118)</f>
        <v>3375</v>
      </c>
      <c r="E116" s="249">
        <f t="shared" ref="E116" si="38">SUM(E117:E118)</f>
        <v>3375</v>
      </c>
      <c r="F116" s="249">
        <f t="shared" ref="F116" si="39">SUM(F117:F118)</f>
        <v>3375</v>
      </c>
      <c r="G116" s="249">
        <f t="shared" ref="G116" si="40">SUM(G117:G118)</f>
        <v>3375</v>
      </c>
      <c r="H116" s="249">
        <f t="shared" ref="H116" si="41">SUM(H117:H118)</f>
        <v>3375</v>
      </c>
      <c r="I116" s="249">
        <f t="shared" ref="I116" si="42">SUM(I117:I118)</f>
        <v>3375</v>
      </c>
      <c r="J116" s="249">
        <f t="shared" ref="J116" si="43">SUM(J117:J118)</f>
        <v>1855168</v>
      </c>
      <c r="K116" s="249">
        <f t="shared" ref="K116" si="44">SUM(K117:K118)</f>
        <v>3375</v>
      </c>
      <c r="L116" s="249">
        <f t="shared" ref="L116" si="45">SUM(L117:L118)</f>
        <v>3375</v>
      </c>
      <c r="M116" s="249">
        <f t="shared" ref="M116" si="46">SUM(M117:M118)</f>
        <v>3375</v>
      </c>
      <c r="N116" s="249">
        <f>SUM(N117:N118)</f>
        <v>20286</v>
      </c>
      <c r="O116" s="250">
        <f t="shared" si="33"/>
        <v>1909204</v>
      </c>
    </row>
    <row r="117" spans="1:17">
      <c r="A117" s="232" t="s">
        <v>45</v>
      </c>
      <c r="B117" s="233">
        <v>40500</v>
      </c>
      <c r="C117" s="233">
        <v>3375</v>
      </c>
      <c r="D117" s="233">
        <v>3375</v>
      </c>
      <c r="E117" s="233">
        <v>3375</v>
      </c>
      <c r="F117" s="233">
        <v>3375</v>
      </c>
      <c r="G117" s="233">
        <v>3375</v>
      </c>
      <c r="H117" s="233">
        <v>3375</v>
      </c>
      <c r="I117" s="233">
        <v>3375</v>
      </c>
      <c r="J117" s="233">
        <v>3375</v>
      </c>
      <c r="K117" s="233">
        <v>3375</v>
      </c>
      <c r="L117" s="233">
        <v>3375</v>
      </c>
      <c r="M117" s="233">
        <v>3375</v>
      </c>
      <c r="N117" s="234">
        <v>3375</v>
      </c>
      <c r="O117" s="235">
        <f t="shared" si="33"/>
        <v>40500</v>
      </c>
    </row>
    <row r="118" spans="1:17">
      <c r="A118" s="232" t="s">
        <v>46</v>
      </c>
      <c r="B118" s="233">
        <v>1868704</v>
      </c>
      <c r="C118" s="233"/>
      <c r="D118" s="233"/>
      <c r="E118" s="233"/>
      <c r="F118" s="233"/>
      <c r="G118" s="233"/>
      <c r="H118" s="233"/>
      <c r="I118" s="233"/>
      <c r="J118" s="233">
        <v>1851793</v>
      </c>
      <c r="K118" s="233"/>
      <c r="L118" s="233"/>
      <c r="M118" s="233"/>
      <c r="N118" s="234">
        <v>16911</v>
      </c>
      <c r="O118" s="235">
        <f t="shared" si="33"/>
        <v>1868704</v>
      </c>
    </row>
    <row r="119" spans="1:17" ht="15.75" thickBot="1">
      <c r="A119" s="258" t="s">
        <v>22</v>
      </c>
      <c r="B119" s="252">
        <f t="shared" ref="B119:N119" si="47">SUM(B109-B116)</f>
        <v>-355508</v>
      </c>
      <c r="C119" s="252">
        <f t="shared" si="47"/>
        <v>-3375</v>
      </c>
      <c r="D119" s="252">
        <f t="shared" si="47"/>
        <v>5962</v>
      </c>
      <c r="E119" s="252">
        <f t="shared" si="47"/>
        <v>-3375</v>
      </c>
      <c r="F119" s="252">
        <f t="shared" si="47"/>
        <v>5231</v>
      </c>
      <c r="G119" s="252">
        <f t="shared" si="47"/>
        <v>-3375</v>
      </c>
      <c r="H119" s="252">
        <f t="shared" si="47"/>
        <v>-3375</v>
      </c>
      <c r="I119" s="252">
        <f t="shared" si="47"/>
        <v>5231</v>
      </c>
      <c r="J119" s="252">
        <f t="shared" si="47"/>
        <v>-575474</v>
      </c>
      <c r="K119" s="252">
        <f t="shared" si="47"/>
        <v>2363</v>
      </c>
      <c r="L119" s="252">
        <f t="shared" si="47"/>
        <v>222452</v>
      </c>
      <c r="M119" s="252">
        <f t="shared" si="47"/>
        <v>10375</v>
      </c>
      <c r="N119" s="252">
        <f t="shared" si="47"/>
        <v>-11680</v>
      </c>
      <c r="O119" s="253">
        <f t="shared" si="33"/>
        <v>-349040</v>
      </c>
      <c r="P119" s="123">
        <f>SUM(O119-B119)</f>
        <v>6468</v>
      </c>
    </row>
    <row r="120" spans="1:17" s="4" customFormat="1">
      <c r="A120" s="309" t="s">
        <v>289</v>
      </c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123"/>
    </row>
    <row r="121" spans="1:17" s="4" customFormat="1">
      <c r="A121" s="309" t="s">
        <v>290</v>
      </c>
      <c r="B121" s="301"/>
      <c r="C121" s="301"/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123"/>
    </row>
    <row r="122" spans="1:17" s="4" customFormat="1" ht="15.75" thickBot="1">
      <c r="A122" s="309" t="s">
        <v>292</v>
      </c>
      <c r="B122" s="301"/>
      <c r="C122" s="301"/>
      <c r="D122" s="301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123"/>
    </row>
    <row r="123" spans="1:17" ht="15.75" thickBot="1">
      <c r="A123" s="236" t="s">
        <v>2</v>
      </c>
      <c r="B123" s="237" t="s">
        <v>3</v>
      </c>
      <c r="C123" s="237" t="s">
        <v>4</v>
      </c>
      <c r="D123" s="237" t="s">
        <v>5</v>
      </c>
      <c r="E123" s="237" t="s">
        <v>6</v>
      </c>
      <c r="F123" s="237" t="s">
        <v>7</v>
      </c>
      <c r="G123" s="237" t="s">
        <v>8</v>
      </c>
      <c r="H123" s="237" t="s">
        <v>9</v>
      </c>
      <c r="I123" s="237" t="s">
        <v>10</v>
      </c>
      <c r="J123" s="237" t="s">
        <v>11</v>
      </c>
      <c r="K123" s="237" t="s">
        <v>12</v>
      </c>
      <c r="L123" s="237" t="s">
        <v>13</v>
      </c>
      <c r="M123" s="237" t="s">
        <v>14</v>
      </c>
      <c r="N123" s="254" t="s">
        <v>15</v>
      </c>
      <c r="O123" s="255" t="s">
        <v>232</v>
      </c>
    </row>
    <row r="124" spans="1:17">
      <c r="A124" s="370" t="s">
        <v>34</v>
      </c>
      <c r="B124" s="371"/>
      <c r="C124" s="371"/>
      <c r="D124" s="371"/>
      <c r="E124" s="372"/>
      <c r="F124" s="372"/>
      <c r="G124" s="372"/>
      <c r="H124" s="372"/>
      <c r="I124" s="372"/>
      <c r="J124" s="372"/>
      <c r="K124" s="372"/>
      <c r="L124" s="372"/>
      <c r="M124" s="372"/>
      <c r="N124" s="372"/>
      <c r="O124" s="256"/>
    </row>
    <row r="125" spans="1:17">
      <c r="A125" s="373" t="s">
        <v>17</v>
      </c>
      <c r="B125" s="374"/>
      <c r="C125" s="374"/>
      <c r="D125" s="374"/>
      <c r="E125" s="374"/>
      <c r="F125" s="374"/>
      <c r="G125" s="374"/>
      <c r="H125" s="374"/>
      <c r="I125" s="374"/>
      <c r="J125" s="374"/>
      <c r="K125" s="374"/>
      <c r="L125" s="374"/>
      <c r="M125" s="374"/>
      <c r="N125" s="374"/>
      <c r="O125" s="375"/>
    </row>
    <row r="126" spans="1:17" ht="15.75" thickBot="1">
      <c r="A126" s="367" t="s">
        <v>18</v>
      </c>
      <c r="B126" s="368"/>
      <c r="C126" s="368"/>
      <c r="D126" s="368"/>
      <c r="E126" s="368"/>
      <c r="F126" s="368"/>
      <c r="G126" s="368"/>
      <c r="H126" s="368"/>
      <c r="I126" s="368"/>
      <c r="J126" s="368"/>
      <c r="K126" s="368"/>
      <c r="L126" s="368"/>
      <c r="M126" s="368"/>
      <c r="N126" s="368"/>
      <c r="O126" s="369"/>
    </row>
    <row r="127" spans="1:17">
      <c r="A127" s="248" t="s">
        <v>47</v>
      </c>
      <c r="B127" s="249">
        <f t="shared" ref="B127:N127" si="48">SUM(B128+B130)</f>
        <v>3496469</v>
      </c>
      <c r="C127" s="249">
        <f t="shared" si="48"/>
        <v>7638</v>
      </c>
      <c r="D127" s="249">
        <f t="shared" si="48"/>
        <v>0</v>
      </c>
      <c r="E127" s="249">
        <f t="shared" si="48"/>
        <v>7462</v>
      </c>
      <c r="F127" s="249">
        <f t="shared" si="48"/>
        <v>0</v>
      </c>
      <c r="G127" s="249">
        <f t="shared" si="48"/>
        <v>0</v>
      </c>
      <c r="H127" s="249">
        <f t="shared" si="48"/>
        <v>18016</v>
      </c>
      <c r="I127" s="249">
        <f t="shared" si="48"/>
        <v>895761</v>
      </c>
      <c r="J127" s="249">
        <f t="shared" si="48"/>
        <v>0</v>
      </c>
      <c r="K127" s="249">
        <f t="shared" si="48"/>
        <v>7650</v>
      </c>
      <c r="L127" s="249">
        <f t="shared" si="48"/>
        <v>0</v>
      </c>
      <c r="M127" s="249">
        <f t="shared" si="48"/>
        <v>5100</v>
      </c>
      <c r="N127" s="249">
        <f t="shared" si="48"/>
        <v>2559742</v>
      </c>
      <c r="O127" s="242">
        <f t="shared" ref="O127:O135" si="49">SUM(C127:N127)</f>
        <v>3501369</v>
      </c>
    </row>
    <row r="128" spans="1:17">
      <c r="A128" s="248" t="s">
        <v>41</v>
      </c>
      <c r="B128" s="249">
        <f t="shared" ref="B128:N128" si="50">SUM(B129:B129)</f>
        <v>30600</v>
      </c>
      <c r="C128" s="249">
        <f t="shared" si="50"/>
        <v>7638</v>
      </c>
      <c r="D128" s="249">
        <f t="shared" si="50"/>
        <v>0</v>
      </c>
      <c r="E128" s="249">
        <f t="shared" si="50"/>
        <v>7462</v>
      </c>
      <c r="F128" s="249">
        <f t="shared" si="50"/>
        <v>0</v>
      </c>
      <c r="G128" s="249">
        <f t="shared" si="50"/>
        <v>0</v>
      </c>
      <c r="H128" s="249">
        <f t="shared" si="50"/>
        <v>7650</v>
      </c>
      <c r="I128" s="249">
        <f t="shared" si="50"/>
        <v>0</v>
      </c>
      <c r="J128" s="249">
        <f t="shared" si="50"/>
        <v>0</v>
      </c>
      <c r="K128" s="249">
        <f t="shared" si="50"/>
        <v>7650</v>
      </c>
      <c r="L128" s="249">
        <f t="shared" si="50"/>
        <v>0</v>
      </c>
      <c r="M128" s="249">
        <f t="shared" si="50"/>
        <v>5100</v>
      </c>
      <c r="N128" s="249">
        <f t="shared" si="50"/>
        <v>0</v>
      </c>
      <c r="O128" s="257">
        <f t="shared" si="49"/>
        <v>35500</v>
      </c>
    </row>
    <row r="129" spans="1:17">
      <c r="A129" s="175" t="s">
        <v>27</v>
      </c>
      <c r="B129" s="176">
        <v>30600</v>
      </c>
      <c r="C129" s="176">
        <v>7638</v>
      </c>
      <c r="D129" s="176"/>
      <c r="E129" s="176">
        <v>7462</v>
      </c>
      <c r="F129" s="176"/>
      <c r="G129" s="176"/>
      <c r="H129" s="176">
        <v>7650</v>
      </c>
      <c r="I129" s="176"/>
      <c r="J129" s="176"/>
      <c r="K129" s="176">
        <v>7650</v>
      </c>
      <c r="L129" s="176"/>
      <c r="M129" s="176">
        <v>5100</v>
      </c>
      <c r="N129" s="177"/>
      <c r="O129" s="178">
        <f t="shared" si="49"/>
        <v>35500</v>
      </c>
      <c r="Q129" t="s">
        <v>252</v>
      </c>
    </row>
    <row r="130" spans="1:17">
      <c r="A130" s="248" t="s">
        <v>43</v>
      </c>
      <c r="B130" s="249">
        <f t="shared" ref="B130:N130" si="51">SUM(B131:B131)</f>
        <v>3465869</v>
      </c>
      <c r="C130" s="249">
        <f t="shared" si="51"/>
        <v>0</v>
      </c>
      <c r="D130" s="249">
        <f t="shared" si="51"/>
        <v>0</v>
      </c>
      <c r="E130" s="249">
        <f t="shared" si="51"/>
        <v>0</v>
      </c>
      <c r="F130" s="249">
        <f t="shared" si="51"/>
        <v>0</v>
      </c>
      <c r="G130" s="249">
        <f t="shared" si="51"/>
        <v>0</v>
      </c>
      <c r="H130" s="249">
        <f t="shared" si="51"/>
        <v>10366</v>
      </c>
      <c r="I130" s="249">
        <f t="shared" si="51"/>
        <v>895761</v>
      </c>
      <c r="J130" s="249">
        <f t="shared" si="51"/>
        <v>0</v>
      </c>
      <c r="K130" s="249">
        <f t="shared" si="51"/>
        <v>0</v>
      </c>
      <c r="L130" s="249">
        <f t="shared" si="51"/>
        <v>0</v>
      </c>
      <c r="M130" s="249">
        <f t="shared" si="51"/>
        <v>0</v>
      </c>
      <c r="N130" s="249">
        <f t="shared" si="51"/>
        <v>2559742</v>
      </c>
      <c r="O130" s="257">
        <f t="shared" si="49"/>
        <v>3465869</v>
      </c>
    </row>
    <row r="131" spans="1:17">
      <c r="A131" s="175" t="s">
        <v>27</v>
      </c>
      <c r="B131" s="176">
        <v>3465869</v>
      </c>
      <c r="C131" s="176"/>
      <c r="D131" s="176"/>
      <c r="E131" s="176"/>
      <c r="F131" s="176"/>
      <c r="G131" s="176"/>
      <c r="H131" s="176">
        <v>10366</v>
      </c>
      <c r="I131" s="176">
        <v>895761</v>
      </c>
      <c r="J131" s="176"/>
      <c r="K131" s="176"/>
      <c r="L131" s="176"/>
      <c r="M131" s="176"/>
      <c r="N131" s="177">
        <v>2559742</v>
      </c>
      <c r="O131" s="178">
        <f t="shared" si="49"/>
        <v>3465869</v>
      </c>
    </row>
    <row r="132" spans="1:17">
      <c r="A132" s="248" t="s">
        <v>48</v>
      </c>
      <c r="B132" s="249">
        <f>SUM(B133:B134)</f>
        <v>7043481</v>
      </c>
      <c r="C132" s="249">
        <f t="shared" ref="C132" si="52">SUM(C133:C134)</f>
        <v>5991</v>
      </c>
      <c r="D132" s="249">
        <f t="shared" ref="D132" si="53">SUM(D133:D134)</f>
        <v>3000</v>
      </c>
      <c r="E132" s="249">
        <f t="shared" ref="E132" si="54">SUM(E133:E134)</f>
        <v>18000</v>
      </c>
      <c r="F132" s="249">
        <f t="shared" ref="F132" si="55">SUM(F133:F134)</f>
        <v>3000</v>
      </c>
      <c r="G132" s="249">
        <f t="shared" ref="G132" si="56">SUM(G133:G134)</f>
        <v>3000</v>
      </c>
      <c r="H132" s="249">
        <f t="shared" ref="H132" si="57">SUM(H133:H134)</f>
        <v>3000</v>
      </c>
      <c r="I132" s="249">
        <f t="shared" ref="I132" si="58">SUM(I133:I134)</f>
        <v>1857086</v>
      </c>
      <c r="J132" s="249">
        <f t="shared" ref="J132" si="59">SUM(J133:J134)</f>
        <v>3000</v>
      </c>
      <c r="K132" s="249">
        <f t="shared" ref="K132" si="60">SUM(K133:K134)</f>
        <v>3000</v>
      </c>
      <c r="L132" s="249">
        <f t="shared" ref="L132" si="61">SUM(L133:L134)</f>
        <v>3000</v>
      </c>
      <c r="M132" s="249">
        <f t="shared" ref="M132" si="62">SUM(M133:M134)</f>
        <v>3000</v>
      </c>
      <c r="N132" s="249">
        <f>SUM(N133:N134)</f>
        <v>5138404</v>
      </c>
      <c r="O132" s="250">
        <f t="shared" si="49"/>
        <v>7043481</v>
      </c>
    </row>
    <row r="133" spans="1:17">
      <c r="A133" s="232" t="s">
        <v>45</v>
      </c>
      <c r="B133" s="233">
        <v>38991</v>
      </c>
      <c r="C133" s="233">
        <v>5991</v>
      </c>
      <c r="D133" s="233">
        <v>3000</v>
      </c>
      <c r="E133" s="233">
        <v>3000</v>
      </c>
      <c r="F133" s="233">
        <v>3000</v>
      </c>
      <c r="G133" s="233">
        <v>3000</v>
      </c>
      <c r="H133" s="233">
        <v>3000</v>
      </c>
      <c r="I133" s="233">
        <v>3000</v>
      </c>
      <c r="J133" s="233">
        <v>3000</v>
      </c>
      <c r="K133" s="233">
        <v>3000</v>
      </c>
      <c r="L133" s="233">
        <v>3000</v>
      </c>
      <c r="M133" s="233">
        <v>3000</v>
      </c>
      <c r="N133" s="234">
        <v>3000</v>
      </c>
      <c r="O133" s="235">
        <f t="shared" si="49"/>
        <v>38991</v>
      </c>
    </row>
    <row r="134" spans="1:17">
      <c r="A134" s="232" t="s">
        <v>46</v>
      </c>
      <c r="B134" s="233">
        <v>7004490</v>
      </c>
      <c r="C134" s="233"/>
      <c r="D134" s="233"/>
      <c r="E134" s="233">
        <v>15000</v>
      </c>
      <c r="F134" s="233"/>
      <c r="G134" s="233"/>
      <c r="H134" s="233"/>
      <c r="I134" s="233">
        <v>1854086</v>
      </c>
      <c r="J134" s="233"/>
      <c r="K134" s="233"/>
      <c r="L134" s="233"/>
      <c r="M134" s="233"/>
      <c r="N134" s="234">
        <v>5135404</v>
      </c>
      <c r="O134" s="235">
        <f t="shared" si="49"/>
        <v>7004490</v>
      </c>
    </row>
    <row r="135" spans="1:17" ht="15.75" thickBot="1">
      <c r="A135" s="258" t="s">
        <v>22</v>
      </c>
      <c r="B135" s="252">
        <f t="shared" ref="B135:N135" si="63">SUM(B127-B132)</f>
        <v>-3547012</v>
      </c>
      <c r="C135" s="252">
        <f t="shared" si="63"/>
        <v>1647</v>
      </c>
      <c r="D135" s="252">
        <f t="shared" si="63"/>
        <v>-3000</v>
      </c>
      <c r="E135" s="252">
        <f t="shared" si="63"/>
        <v>-10538</v>
      </c>
      <c r="F135" s="252">
        <f t="shared" si="63"/>
        <v>-3000</v>
      </c>
      <c r="G135" s="252">
        <f t="shared" si="63"/>
        <v>-3000</v>
      </c>
      <c r="H135" s="252">
        <f t="shared" si="63"/>
        <v>15016</v>
      </c>
      <c r="I135" s="252">
        <f t="shared" si="63"/>
        <v>-961325</v>
      </c>
      <c r="J135" s="252">
        <f t="shared" si="63"/>
        <v>-3000</v>
      </c>
      <c r="K135" s="252">
        <f t="shared" si="63"/>
        <v>4650</v>
      </c>
      <c r="L135" s="252">
        <f t="shared" si="63"/>
        <v>-3000</v>
      </c>
      <c r="M135" s="252">
        <f t="shared" si="63"/>
        <v>2100</v>
      </c>
      <c r="N135" s="252">
        <f t="shared" si="63"/>
        <v>-2578662</v>
      </c>
      <c r="O135" s="253">
        <f t="shared" si="49"/>
        <v>-3542112</v>
      </c>
      <c r="P135" s="123">
        <f>SUM(O135-B135)</f>
        <v>4900</v>
      </c>
    </row>
    <row r="136" spans="1:17" s="272" customFormat="1" ht="15.75" thickBot="1">
      <c r="A136" s="309" t="s">
        <v>293</v>
      </c>
      <c r="B136" s="301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273"/>
    </row>
    <row r="137" spans="1:17" ht="15.75" thickBot="1">
      <c r="A137" s="20" t="s">
        <v>2</v>
      </c>
      <c r="B137" s="21" t="s">
        <v>3</v>
      </c>
      <c r="C137" s="21" t="s">
        <v>4</v>
      </c>
      <c r="D137" s="21" t="s">
        <v>5</v>
      </c>
      <c r="E137" s="21" t="s">
        <v>6</v>
      </c>
      <c r="F137" s="21" t="s">
        <v>7</v>
      </c>
      <c r="G137" s="21" t="s">
        <v>8</v>
      </c>
      <c r="H137" s="21" t="s">
        <v>9</v>
      </c>
      <c r="I137" s="21" t="s">
        <v>10</v>
      </c>
      <c r="J137" s="21" t="s">
        <v>11</v>
      </c>
      <c r="K137" s="21" t="s">
        <v>12</v>
      </c>
      <c r="L137" s="21" t="s">
        <v>13</v>
      </c>
      <c r="M137" s="21" t="s">
        <v>14</v>
      </c>
      <c r="N137" s="35" t="s">
        <v>15</v>
      </c>
      <c r="O137" s="36" t="s">
        <v>232</v>
      </c>
    </row>
    <row r="138" spans="1:17">
      <c r="A138" s="376" t="s">
        <v>34</v>
      </c>
      <c r="B138" s="377"/>
      <c r="C138" s="377"/>
      <c r="D138" s="377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"/>
    </row>
    <row r="139" spans="1:17">
      <c r="A139" s="379" t="s">
        <v>31</v>
      </c>
      <c r="B139" s="380"/>
      <c r="C139" s="380"/>
      <c r="D139" s="380"/>
      <c r="E139" s="380"/>
      <c r="F139" s="380"/>
      <c r="G139" s="380"/>
      <c r="H139" s="380"/>
      <c r="I139" s="380"/>
      <c r="J139" s="380"/>
      <c r="K139" s="380"/>
      <c r="L139" s="380"/>
      <c r="M139" s="380"/>
      <c r="N139" s="380"/>
      <c r="O139" s="381"/>
    </row>
    <row r="140" spans="1:17" ht="15.75" thickBot="1">
      <c r="A140" s="364" t="s">
        <v>18</v>
      </c>
      <c r="B140" s="365"/>
      <c r="C140" s="365"/>
      <c r="D140" s="365"/>
      <c r="E140" s="365"/>
      <c r="F140" s="365"/>
      <c r="G140" s="365"/>
      <c r="H140" s="365"/>
      <c r="I140" s="365"/>
      <c r="J140" s="365"/>
      <c r="K140" s="365"/>
      <c r="L140" s="365"/>
      <c r="M140" s="365"/>
      <c r="N140" s="365"/>
      <c r="O140" s="366"/>
    </row>
    <row r="141" spans="1:17">
      <c r="A141" s="38" t="s">
        <v>47</v>
      </c>
      <c r="B141" s="39">
        <f t="shared" ref="B141:N141" si="64">SUM(B142+B144)</f>
        <v>480567</v>
      </c>
      <c r="C141" s="39">
        <f t="shared" si="64"/>
        <v>0</v>
      </c>
      <c r="D141" s="39">
        <f t="shared" si="64"/>
        <v>62460</v>
      </c>
      <c r="E141" s="39">
        <f t="shared" si="64"/>
        <v>0</v>
      </c>
      <c r="F141" s="39">
        <f t="shared" si="64"/>
        <v>0</v>
      </c>
      <c r="G141" s="39">
        <f t="shared" si="64"/>
        <v>0</v>
      </c>
      <c r="H141" s="39">
        <f t="shared" si="64"/>
        <v>0</v>
      </c>
      <c r="I141" s="39">
        <f t="shared" si="64"/>
        <v>396953</v>
      </c>
      <c r="J141" s="39">
        <f t="shared" si="64"/>
        <v>0</v>
      </c>
      <c r="K141" s="39">
        <f t="shared" si="64"/>
        <v>0</v>
      </c>
      <c r="L141" s="39">
        <f t="shared" si="64"/>
        <v>0</v>
      </c>
      <c r="M141" s="39">
        <f t="shared" si="64"/>
        <v>3932</v>
      </c>
      <c r="N141" s="39">
        <f t="shared" si="64"/>
        <v>0</v>
      </c>
      <c r="O141" s="40">
        <f t="shared" ref="O141:O149" si="65">SUM(C141:N141)</f>
        <v>463345</v>
      </c>
    </row>
    <row r="142" spans="1:17">
      <c r="A142" s="38" t="s">
        <v>41</v>
      </c>
      <c r="B142" s="39">
        <f t="shared" ref="B142:N142" si="66">SUM(B143:B143)</f>
        <v>336848</v>
      </c>
      <c r="C142" s="39">
        <f t="shared" si="66"/>
        <v>0</v>
      </c>
      <c r="D142" s="39">
        <f t="shared" si="66"/>
        <v>56952</v>
      </c>
      <c r="E142" s="39">
        <f t="shared" si="66"/>
        <v>0</v>
      </c>
      <c r="F142" s="39">
        <f t="shared" si="66"/>
        <v>0</v>
      </c>
      <c r="G142" s="39">
        <f t="shared" si="66"/>
        <v>0</v>
      </c>
      <c r="H142" s="39">
        <f t="shared" si="66"/>
        <v>0</v>
      </c>
      <c r="I142" s="39">
        <f t="shared" si="66"/>
        <v>258742</v>
      </c>
      <c r="J142" s="39">
        <f t="shared" si="66"/>
        <v>0</v>
      </c>
      <c r="K142" s="39">
        <f t="shared" si="66"/>
        <v>0</v>
      </c>
      <c r="L142" s="39">
        <f t="shared" si="66"/>
        <v>0</v>
      </c>
      <c r="M142" s="39">
        <f t="shared" si="66"/>
        <v>3932</v>
      </c>
      <c r="N142" s="39">
        <f t="shared" si="66"/>
        <v>0</v>
      </c>
      <c r="O142" s="54">
        <f t="shared" si="65"/>
        <v>319626</v>
      </c>
      <c r="Q142" t="s">
        <v>252</v>
      </c>
    </row>
    <row r="143" spans="1:17">
      <c r="A143" s="41" t="s">
        <v>27</v>
      </c>
      <c r="B143" s="42">
        <v>336848</v>
      </c>
      <c r="C143" s="42"/>
      <c r="D143" s="42">
        <v>56952</v>
      </c>
      <c r="E143" s="42"/>
      <c r="F143" s="42"/>
      <c r="G143" s="42"/>
      <c r="H143" s="42"/>
      <c r="I143" s="42">
        <v>258742</v>
      </c>
      <c r="J143" s="42"/>
      <c r="K143" s="42"/>
      <c r="L143" s="42"/>
      <c r="M143" s="42">
        <v>3932</v>
      </c>
      <c r="N143" s="43"/>
      <c r="O143" s="44">
        <f t="shared" si="65"/>
        <v>319626</v>
      </c>
    </row>
    <row r="144" spans="1:17">
      <c r="A144" s="38" t="s">
        <v>43</v>
      </c>
      <c r="B144" s="39">
        <f t="shared" ref="B144:N144" si="67">SUM(B145:B145)</f>
        <v>143719</v>
      </c>
      <c r="C144" s="39">
        <f t="shared" si="67"/>
        <v>0</v>
      </c>
      <c r="D144" s="39">
        <f t="shared" si="67"/>
        <v>5508</v>
      </c>
      <c r="E144" s="39">
        <f t="shared" si="67"/>
        <v>0</v>
      </c>
      <c r="F144" s="39">
        <f t="shared" si="67"/>
        <v>0</v>
      </c>
      <c r="G144" s="39">
        <f t="shared" si="67"/>
        <v>0</v>
      </c>
      <c r="H144" s="39">
        <f t="shared" si="67"/>
        <v>0</v>
      </c>
      <c r="I144" s="39">
        <f t="shared" si="67"/>
        <v>138211</v>
      </c>
      <c r="J144" s="39">
        <f t="shared" si="67"/>
        <v>0</v>
      </c>
      <c r="K144" s="39">
        <f t="shared" si="67"/>
        <v>0</v>
      </c>
      <c r="L144" s="39">
        <f t="shared" si="67"/>
        <v>0</v>
      </c>
      <c r="M144" s="39">
        <f t="shared" si="67"/>
        <v>0</v>
      </c>
      <c r="N144" s="39">
        <f t="shared" si="67"/>
        <v>0</v>
      </c>
      <c r="O144" s="54">
        <f t="shared" si="65"/>
        <v>143719</v>
      </c>
      <c r="Q144" t="s">
        <v>286</v>
      </c>
    </row>
    <row r="145" spans="1:17">
      <c r="A145" s="41" t="s">
        <v>27</v>
      </c>
      <c r="B145" s="42">
        <v>143719</v>
      </c>
      <c r="C145" s="42"/>
      <c r="D145" s="42">
        <v>5508</v>
      </c>
      <c r="E145" s="42"/>
      <c r="F145" s="42"/>
      <c r="G145" s="42"/>
      <c r="H145" s="42"/>
      <c r="I145" s="42">
        <v>138211</v>
      </c>
      <c r="J145" s="42"/>
      <c r="K145" s="42"/>
      <c r="L145" s="42"/>
      <c r="M145" s="42"/>
      <c r="N145" s="43"/>
      <c r="O145" s="44">
        <f t="shared" si="65"/>
        <v>143719</v>
      </c>
    </row>
    <row r="146" spans="1:17">
      <c r="A146" s="38" t="s">
        <v>48</v>
      </c>
      <c r="B146" s="39">
        <f>SUM(B147:B148)</f>
        <v>664011</v>
      </c>
      <c r="C146" s="39">
        <f t="shared" ref="C146" si="68">SUM(C147:C148)</f>
        <v>1375</v>
      </c>
      <c r="D146" s="39">
        <f t="shared" ref="D146" si="69">SUM(D147:D148)</f>
        <v>74647</v>
      </c>
      <c r="E146" s="39">
        <f t="shared" ref="E146" si="70">SUM(E147:E148)</f>
        <v>1375</v>
      </c>
      <c r="F146" s="39">
        <f t="shared" ref="F146" si="71">SUM(F147:F148)</f>
        <v>1375</v>
      </c>
      <c r="G146" s="39">
        <f t="shared" ref="G146" si="72">SUM(G147:G148)</f>
        <v>10411</v>
      </c>
      <c r="H146" s="39">
        <f t="shared" ref="H146" si="73">SUM(H147:H148)</f>
        <v>1375</v>
      </c>
      <c r="I146" s="39">
        <f t="shared" ref="I146" si="74">SUM(I147:I148)</f>
        <v>201375</v>
      </c>
      <c r="J146" s="39">
        <f t="shared" ref="J146" si="75">SUM(J147:J148)</f>
        <v>349077</v>
      </c>
      <c r="K146" s="39">
        <f t="shared" ref="K146" si="76">SUM(K147:K148)</f>
        <v>1375</v>
      </c>
      <c r="L146" s="39">
        <f t="shared" ref="L146" si="77">SUM(L147:L148)</f>
        <v>13291</v>
      </c>
      <c r="M146" s="39">
        <f t="shared" ref="M146" si="78">SUM(M147:M148)</f>
        <v>4090</v>
      </c>
      <c r="N146" s="39">
        <f>SUM(N147:N148)</f>
        <v>4245</v>
      </c>
      <c r="O146" s="45">
        <f t="shared" si="65"/>
        <v>664011</v>
      </c>
    </row>
    <row r="147" spans="1:17">
      <c r="A147" s="46" t="s">
        <v>45</v>
      </c>
      <c r="B147" s="47">
        <v>464011</v>
      </c>
      <c r="C147" s="47">
        <v>1375</v>
      </c>
      <c r="D147" s="47">
        <v>74647</v>
      </c>
      <c r="E147" s="47">
        <v>1375</v>
      </c>
      <c r="F147" s="47">
        <v>1375</v>
      </c>
      <c r="G147" s="47">
        <v>10411</v>
      </c>
      <c r="H147" s="47">
        <v>1375</v>
      </c>
      <c r="I147" s="47">
        <v>1375</v>
      </c>
      <c r="J147" s="47">
        <v>349077</v>
      </c>
      <c r="K147" s="47">
        <v>1375</v>
      </c>
      <c r="L147" s="47">
        <v>13291</v>
      </c>
      <c r="M147" s="47">
        <v>4090</v>
      </c>
      <c r="N147" s="48">
        <v>4245</v>
      </c>
      <c r="O147" s="49">
        <f t="shared" si="65"/>
        <v>464011</v>
      </c>
    </row>
    <row r="148" spans="1:17">
      <c r="A148" s="46" t="s">
        <v>46</v>
      </c>
      <c r="B148" s="47">
        <v>200000</v>
      </c>
      <c r="C148" s="47"/>
      <c r="D148" s="47"/>
      <c r="E148" s="47"/>
      <c r="F148" s="47"/>
      <c r="G148" s="47"/>
      <c r="H148" s="47"/>
      <c r="I148" s="47">
        <v>200000</v>
      </c>
      <c r="J148" s="47"/>
      <c r="K148" s="47"/>
      <c r="L148" s="47"/>
      <c r="M148" s="47"/>
      <c r="N148" s="48"/>
      <c r="O148" s="49">
        <f t="shared" si="65"/>
        <v>200000</v>
      </c>
    </row>
    <row r="149" spans="1:17" ht="15.75" thickBot="1">
      <c r="A149" s="50" t="s">
        <v>22</v>
      </c>
      <c r="B149" s="51">
        <f t="shared" ref="B149:N149" si="79">SUM(B141-B146)</f>
        <v>-183444</v>
      </c>
      <c r="C149" s="51">
        <f t="shared" si="79"/>
        <v>-1375</v>
      </c>
      <c r="D149" s="51">
        <f t="shared" si="79"/>
        <v>-12187</v>
      </c>
      <c r="E149" s="51">
        <f t="shared" si="79"/>
        <v>-1375</v>
      </c>
      <c r="F149" s="51">
        <f t="shared" si="79"/>
        <v>-1375</v>
      </c>
      <c r="G149" s="51">
        <f t="shared" si="79"/>
        <v>-10411</v>
      </c>
      <c r="H149" s="51">
        <f t="shared" si="79"/>
        <v>-1375</v>
      </c>
      <c r="I149" s="51">
        <f t="shared" si="79"/>
        <v>195578</v>
      </c>
      <c r="J149" s="51">
        <f t="shared" si="79"/>
        <v>-349077</v>
      </c>
      <c r="K149" s="51">
        <f t="shared" si="79"/>
        <v>-1375</v>
      </c>
      <c r="L149" s="51">
        <f t="shared" si="79"/>
        <v>-13291</v>
      </c>
      <c r="M149" s="51">
        <f t="shared" si="79"/>
        <v>-158</v>
      </c>
      <c r="N149" s="51">
        <f t="shared" si="79"/>
        <v>-4245</v>
      </c>
      <c r="O149" s="53">
        <f t="shared" si="65"/>
        <v>-200666</v>
      </c>
      <c r="P149" s="123">
        <f>SUM(O149-B149)</f>
        <v>-17222</v>
      </c>
    </row>
    <row r="150" spans="1:17" s="4" customFormat="1">
      <c r="A150" s="308" t="s">
        <v>297</v>
      </c>
      <c r="B150" s="307"/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123"/>
    </row>
    <row r="151" spans="1:17" s="4" customFormat="1" ht="15.75" thickBot="1">
      <c r="A151" s="308" t="s">
        <v>298</v>
      </c>
      <c r="B151" s="307"/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123"/>
    </row>
    <row r="152" spans="1:17" ht="15.75" thickBot="1">
      <c r="A152" s="20" t="s">
        <v>2</v>
      </c>
      <c r="B152" s="21" t="s">
        <v>3</v>
      </c>
      <c r="C152" s="21" t="s">
        <v>4</v>
      </c>
      <c r="D152" s="21" t="s">
        <v>5</v>
      </c>
      <c r="E152" s="21" t="s">
        <v>6</v>
      </c>
      <c r="F152" s="21" t="s">
        <v>7</v>
      </c>
      <c r="G152" s="21" t="s">
        <v>8</v>
      </c>
      <c r="H152" s="21" t="s">
        <v>9</v>
      </c>
      <c r="I152" s="21" t="s">
        <v>10</v>
      </c>
      <c r="J152" s="21" t="s">
        <v>11</v>
      </c>
      <c r="K152" s="21" t="s">
        <v>12</v>
      </c>
      <c r="L152" s="21" t="s">
        <v>13</v>
      </c>
      <c r="M152" s="21" t="s">
        <v>14</v>
      </c>
      <c r="N152" s="35" t="s">
        <v>15</v>
      </c>
      <c r="O152" s="36" t="s">
        <v>232</v>
      </c>
    </row>
    <row r="153" spans="1:17">
      <c r="A153" s="376" t="s">
        <v>34</v>
      </c>
      <c r="B153" s="377"/>
      <c r="C153" s="377"/>
      <c r="D153" s="377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"/>
    </row>
    <row r="154" spans="1:17" ht="27.75" customHeight="1">
      <c r="A154" s="382" t="s">
        <v>221</v>
      </c>
      <c r="B154" s="383"/>
      <c r="C154" s="383"/>
      <c r="D154" s="383"/>
      <c r="E154" s="383"/>
      <c r="F154" s="383"/>
      <c r="G154" s="383"/>
      <c r="H154" s="383"/>
      <c r="I154" s="383"/>
      <c r="J154" s="383"/>
      <c r="K154" s="383"/>
      <c r="L154" s="383"/>
      <c r="M154" s="383"/>
      <c r="N154" s="383"/>
      <c r="O154" s="384"/>
    </row>
    <row r="155" spans="1:17" ht="15.75" thickBot="1">
      <c r="A155" s="364" t="s">
        <v>18</v>
      </c>
      <c r="B155" s="365"/>
      <c r="C155" s="365"/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6"/>
    </row>
    <row r="156" spans="1:17">
      <c r="A156" s="38" t="s">
        <v>47</v>
      </c>
      <c r="B156" s="39">
        <f t="shared" ref="B156:N156" si="80">SUM(B157+B159)</f>
        <v>4202629</v>
      </c>
      <c r="C156" s="39">
        <f t="shared" si="80"/>
        <v>9541</v>
      </c>
      <c r="D156" s="39">
        <f t="shared" si="80"/>
        <v>3206</v>
      </c>
      <c r="E156" s="39">
        <f t="shared" si="80"/>
        <v>0</v>
      </c>
      <c r="F156" s="39">
        <f t="shared" si="80"/>
        <v>868491</v>
      </c>
      <c r="G156" s="39">
        <f t="shared" si="80"/>
        <v>0</v>
      </c>
      <c r="H156" s="39">
        <f t="shared" si="80"/>
        <v>1343243</v>
      </c>
      <c r="I156" s="39">
        <f t="shared" si="80"/>
        <v>11535</v>
      </c>
      <c r="J156" s="39">
        <f t="shared" si="80"/>
        <v>0</v>
      </c>
      <c r="K156" s="39">
        <f t="shared" si="80"/>
        <v>0</v>
      </c>
      <c r="L156" s="39">
        <f t="shared" si="80"/>
        <v>8329</v>
      </c>
      <c r="M156" s="39">
        <f t="shared" si="80"/>
        <v>1117381</v>
      </c>
      <c r="N156" s="39">
        <f t="shared" si="80"/>
        <v>8329</v>
      </c>
      <c r="O156" s="40">
        <f t="shared" ref="O156:O164" si="81">SUM(C156:N156)</f>
        <v>3370055</v>
      </c>
    </row>
    <row r="157" spans="1:17">
      <c r="A157" s="38" t="s">
        <v>41</v>
      </c>
      <c r="B157" s="39">
        <f t="shared" ref="B157:N157" si="82">SUM(B158:B158)</f>
        <v>54374</v>
      </c>
      <c r="C157" s="39">
        <f t="shared" si="82"/>
        <v>9541</v>
      </c>
      <c r="D157" s="39">
        <f t="shared" si="82"/>
        <v>3206</v>
      </c>
      <c r="E157" s="39">
        <f t="shared" si="82"/>
        <v>0</v>
      </c>
      <c r="F157" s="39">
        <f t="shared" si="82"/>
        <v>19527</v>
      </c>
      <c r="G157" s="39">
        <f t="shared" si="82"/>
        <v>0</v>
      </c>
      <c r="H157" s="39">
        <f t="shared" si="82"/>
        <v>0</v>
      </c>
      <c r="I157" s="39">
        <f t="shared" si="82"/>
        <v>11535</v>
      </c>
      <c r="J157" s="39">
        <f t="shared" si="82"/>
        <v>0</v>
      </c>
      <c r="K157" s="39">
        <f t="shared" si="82"/>
        <v>0</v>
      </c>
      <c r="L157" s="39">
        <f t="shared" si="82"/>
        <v>8329</v>
      </c>
      <c r="M157" s="39">
        <f t="shared" si="82"/>
        <v>0</v>
      </c>
      <c r="N157" s="39">
        <f t="shared" si="82"/>
        <v>8329</v>
      </c>
      <c r="O157" s="54">
        <f t="shared" si="81"/>
        <v>60467</v>
      </c>
    </row>
    <row r="158" spans="1:17">
      <c r="A158" s="41" t="s">
        <v>27</v>
      </c>
      <c r="B158" s="42">
        <v>54374</v>
      </c>
      <c r="C158" s="42">
        <v>9541</v>
      </c>
      <c r="D158" s="42">
        <v>3206</v>
      </c>
      <c r="E158" s="42"/>
      <c r="F158" s="42">
        <v>19527</v>
      </c>
      <c r="G158" s="42"/>
      <c r="H158" s="42"/>
      <c r="I158" s="42">
        <v>11535</v>
      </c>
      <c r="J158" s="42"/>
      <c r="K158" s="42"/>
      <c r="L158" s="42">
        <v>8329</v>
      </c>
      <c r="M158" s="42"/>
      <c r="N158" s="43">
        <v>8329</v>
      </c>
      <c r="O158" s="44">
        <f t="shared" si="81"/>
        <v>60467</v>
      </c>
      <c r="Q158" t="s">
        <v>252</v>
      </c>
    </row>
    <row r="159" spans="1:17">
      <c r="A159" s="38" t="s">
        <v>43</v>
      </c>
      <c r="B159" s="39">
        <f t="shared" ref="B159:N159" si="83">SUM(B160:B160)</f>
        <v>4148255</v>
      </c>
      <c r="C159" s="39">
        <f t="shared" si="83"/>
        <v>0</v>
      </c>
      <c r="D159" s="39">
        <f t="shared" si="83"/>
        <v>0</v>
      </c>
      <c r="E159" s="39">
        <f t="shared" si="83"/>
        <v>0</v>
      </c>
      <c r="F159" s="39">
        <f t="shared" si="83"/>
        <v>848964</v>
      </c>
      <c r="G159" s="39">
        <f t="shared" si="83"/>
        <v>0</v>
      </c>
      <c r="H159" s="39">
        <f t="shared" si="83"/>
        <v>1343243</v>
      </c>
      <c r="I159" s="39">
        <f t="shared" si="83"/>
        <v>0</v>
      </c>
      <c r="J159" s="39">
        <f t="shared" si="83"/>
        <v>0</v>
      </c>
      <c r="K159" s="39">
        <f t="shared" si="83"/>
        <v>0</v>
      </c>
      <c r="L159" s="39">
        <f t="shared" si="83"/>
        <v>0</v>
      </c>
      <c r="M159" s="39">
        <f t="shared" si="83"/>
        <v>1117381</v>
      </c>
      <c r="N159" s="39">
        <f t="shared" si="83"/>
        <v>0</v>
      </c>
      <c r="O159" s="54">
        <f t="shared" si="81"/>
        <v>3309588</v>
      </c>
    </row>
    <row r="160" spans="1:17">
      <c r="A160" s="41" t="s">
        <v>27</v>
      </c>
      <c r="B160" s="42">
        <v>4148255</v>
      </c>
      <c r="C160" s="42"/>
      <c r="D160" s="42"/>
      <c r="E160" s="42"/>
      <c r="F160" s="42">
        <v>848964</v>
      </c>
      <c r="G160" s="42"/>
      <c r="H160" s="42">
        <v>1343243</v>
      </c>
      <c r="I160" s="42"/>
      <c r="J160" s="42"/>
      <c r="K160" s="42"/>
      <c r="L160" s="42"/>
      <c r="M160" s="42">
        <v>1117381</v>
      </c>
      <c r="N160" s="43"/>
      <c r="O160" s="44">
        <f t="shared" si="81"/>
        <v>3309588</v>
      </c>
      <c r="Q160" t="s">
        <v>286</v>
      </c>
    </row>
    <row r="161" spans="1:15">
      <c r="A161" s="38" t="s">
        <v>48</v>
      </c>
      <c r="B161" s="39">
        <f>SUM(B162:B163)</f>
        <v>6400725</v>
      </c>
      <c r="C161" s="39">
        <f t="shared" ref="C161:M161" si="84">SUM(C162:C163)</f>
        <v>6536</v>
      </c>
      <c r="D161" s="39">
        <f t="shared" si="84"/>
        <v>6536</v>
      </c>
      <c r="E161" s="39">
        <f t="shared" si="84"/>
        <v>6536</v>
      </c>
      <c r="F161" s="39">
        <f t="shared" si="84"/>
        <v>1335036</v>
      </c>
      <c r="G161" s="39">
        <f t="shared" si="84"/>
        <v>5084</v>
      </c>
      <c r="H161" s="39">
        <f t="shared" si="84"/>
        <v>2098836</v>
      </c>
      <c r="I161" s="39">
        <f t="shared" si="84"/>
        <v>5446</v>
      </c>
      <c r="J161" s="39">
        <f t="shared" si="84"/>
        <v>5446</v>
      </c>
      <c r="K161" s="39">
        <f t="shared" si="84"/>
        <v>5446</v>
      </c>
      <c r="L161" s="39">
        <f t="shared" si="84"/>
        <v>3773</v>
      </c>
      <c r="M161" s="39">
        <f t="shared" si="84"/>
        <v>2644836</v>
      </c>
      <c r="N161" s="39">
        <f>SUM(N162:N163)</f>
        <v>277214</v>
      </c>
      <c r="O161" s="45">
        <f t="shared" si="81"/>
        <v>6400725</v>
      </c>
    </row>
    <row r="162" spans="1:15">
      <c r="A162" s="46" t="s">
        <v>45</v>
      </c>
      <c r="B162" s="47">
        <v>63969</v>
      </c>
      <c r="C162" s="47">
        <v>6536</v>
      </c>
      <c r="D162" s="47">
        <v>6536</v>
      </c>
      <c r="E162" s="47">
        <v>6536</v>
      </c>
      <c r="F162" s="47">
        <v>6536</v>
      </c>
      <c r="G162" s="47">
        <v>5084</v>
      </c>
      <c r="H162" s="47">
        <v>5084</v>
      </c>
      <c r="I162" s="47">
        <v>5446</v>
      </c>
      <c r="J162" s="47">
        <v>5446</v>
      </c>
      <c r="K162" s="47">
        <v>5446</v>
      </c>
      <c r="L162" s="47">
        <v>3773</v>
      </c>
      <c r="M162" s="47">
        <v>3773</v>
      </c>
      <c r="N162" s="48">
        <v>3773</v>
      </c>
      <c r="O162" s="49">
        <f t="shared" si="81"/>
        <v>63969</v>
      </c>
    </row>
    <row r="163" spans="1:15">
      <c r="A163" s="46" t="s">
        <v>46</v>
      </c>
      <c r="B163" s="47">
        <v>6336756</v>
      </c>
      <c r="C163" s="47"/>
      <c r="D163" s="47"/>
      <c r="E163" s="47"/>
      <c r="F163" s="47">
        <v>1328500</v>
      </c>
      <c r="G163" s="47"/>
      <c r="H163" s="47">
        <v>2093752</v>
      </c>
      <c r="I163" s="47"/>
      <c r="J163" s="47"/>
      <c r="K163" s="47"/>
      <c r="L163" s="47"/>
      <c r="M163" s="47">
        <v>2641063</v>
      </c>
      <c r="N163" s="48">
        <v>273441</v>
      </c>
      <c r="O163" s="49">
        <f t="shared" si="81"/>
        <v>6336756</v>
      </c>
    </row>
    <row r="164" spans="1:15" ht="15.75" thickBot="1">
      <c r="A164" s="50" t="s">
        <v>22</v>
      </c>
      <c r="B164" s="51">
        <f t="shared" ref="B164:N164" si="85">SUM(B156-B161)</f>
        <v>-2198096</v>
      </c>
      <c r="C164" s="51">
        <f t="shared" si="85"/>
        <v>3005</v>
      </c>
      <c r="D164" s="51">
        <f t="shared" si="85"/>
        <v>-3330</v>
      </c>
      <c r="E164" s="51">
        <f t="shared" si="85"/>
        <v>-6536</v>
      </c>
      <c r="F164" s="51">
        <f t="shared" si="85"/>
        <v>-466545</v>
      </c>
      <c r="G164" s="51">
        <f t="shared" si="85"/>
        <v>-5084</v>
      </c>
      <c r="H164" s="51">
        <f t="shared" si="85"/>
        <v>-755593</v>
      </c>
      <c r="I164" s="51">
        <f t="shared" si="85"/>
        <v>6089</v>
      </c>
      <c r="J164" s="51">
        <f t="shared" si="85"/>
        <v>-5446</v>
      </c>
      <c r="K164" s="51">
        <f t="shared" si="85"/>
        <v>-5446</v>
      </c>
      <c r="L164" s="51">
        <f t="shared" si="85"/>
        <v>4556</v>
      </c>
      <c r="M164" s="51">
        <f t="shared" si="85"/>
        <v>-1527455</v>
      </c>
      <c r="N164" s="51">
        <f t="shared" si="85"/>
        <v>-268885</v>
      </c>
      <c r="O164" s="53">
        <f t="shared" si="81"/>
        <v>-3030670</v>
      </c>
    </row>
    <row r="165" spans="1:15">
      <c r="A165" s="310" t="s">
        <v>294</v>
      </c>
    </row>
    <row r="166" spans="1:15">
      <c r="A166" s="310" t="s">
        <v>295</v>
      </c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</row>
    <row r="168" spans="1:15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</row>
  </sheetData>
  <mergeCells count="40">
    <mergeCell ref="A153:N153"/>
    <mergeCell ref="A154:O154"/>
    <mergeCell ref="A155:O155"/>
    <mergeCell ref="A38:O38"/>
    <mergeCell ref="A6:O6"/>
    <mergeCell ref="A9:N9"/>
    <mergeCell ref="A10:O10"/>
    <mergeCell ref="A11:O11"/>
    <mergeCell ref="A18:N18"/>
    <mergeCell ref="A19:O19"/>
    <mergeCell ref="A20:O20"/>
    <mergeCell ref="A28:N28"/>
    <mergeCell ref="A29:O29"/>
    <mergeCell ref="A30:O30"/>
    <mergeCell ref="A37:N37"/>
    <mergeCell ref="A80:O80"/>
    <mergeCell ref="A39:O39"/>
    <mergeCell ref="A47:N47"/>
    <mergeCell ref="A48:O48"/>
    <mergeCell ref="A49:O49"/>
    <mergeCell ref="A70:N70"/>
    <mergeCell ref="A71:O71"/>
    <mergeCell ref="A72:O72"/>
    <mergeCell ref="A79:N79"/>
    <mergeCell ref="A107:O107"/>
    <mergeCell ref="A81:O81"/>
    <mergeCell ref="A88:N88"/>
    <mergeCell ref="A89:O89"/>
    <mergeCell ref="A90:O90"/>
    <mergeCell ref="A97:N97"/>
    <mergeCell ref="A98:O98"/>
    <mergeCell ref="A99:O99"/>
    <mergeCell ref="A106:N106"/>
    <mergeCell ref="A140:O140"/>
    <mergeCell ref="A108:O108"/>
    <mergeCell ref="A124:N124"/>
    <mergeCell ref="A125:O125"/>
    <mergeCell ref="A126:O126"/>
    <mergeCell ref="A138:N138"/>
    <mergeCell ref="A139:O139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J6" sqref="J6"/>
    </sheetView>
  </sheetViews>
  <sheetFormatPr defaultRowHeight="15"/>
  <cols>
    <col min="1" max="1" width="29.85546875" customWidth="1"/>
    <col min="12" max="12" width="9.42578125" customWidth="1"/>
    <col min="15" max="15" width="9.85546875" bestFit="1" customWidth="1"/>
  </cols>
  <sheetData>
    <row r="2" spans="1:15">
      <c r="J2" s="6" t="s">
        <v>222</v>
      </c>
    </row>
    <row r="3" spans="1:15">
      <c r="J3" s="5" t="s">
        <v>299</v>
      </c>
    </row>
    <row r="4" spans="1:15">
      <c r="J4" s="5" t="s">
        <v>0</v>
      </c>
    </row>
    <row r="5" spans="1:15">
      <c r="J5" s="5" t="s">
        <v>300</v>
      </c>
    </row>
    <row r="6" spans="1:15" s="4" customFormat="1">
      <c r="J6" s="5"/>
    </row>
    <row r="7" spans="1:15" s="4" customFormat="1">
      <c r="A7" s="389" t="s">
        <v>273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</row>
    <row r="8" spans="1:15" s="4" customFormat="1" ht="15.75" thickBot="1">
      <c r="J8" s="5"/>
    </row>
    <row r="9" spans="1:15">
      <c r="A9" s="386" t="s">
        <v>223</v>
      </c>
      <c r="B9" s="330" t="s">
        <v>148</v>
      </c>
      <c r="C9" s="313" t="s">
        <v>56</v>
      </c>
      <c r="D9" s="316" t="s">
        <v>57</v>
      </c>
      <c r="E9" s="313" t="s">
        <v>58</v>
      </c>
      <c r="F9" s="316" t="s">
        <v>59</v>
      </c>
      <c r="G9" s="313" t="s">
        <v>60</v>
      </c>
      <c r="H9" s="316" t="s">
        <v>61</v>
      </c>
      <c r="I9" s="313" t="s">
        <v>62</v>
      </c>
      <c r="J9" s="316" t="s">
        <v>63</v>
      </c>
      <c r="K9" s="313" t="s">
        <v>64</v>
      </c>
      <c r="L9" s="316" t="s">
        <v>65</v>
      </c>
      <c r="M9" s="313" t="s">
        <v>66</v>
      </c>
      <c r="N9" s="313" t="s">
        <v>67</v>
      </c>
    </row>
    <row r="10" spans="1:15" ht="15" customHeight="1">
      <c r="A10" s="387"/>
      <c r="B10" s="331"/>
      <c r="C10" s="314"/>
      <c r="D10" s="317"/>
      <c r="E10" s="314"/>
      <c r="F10" s="317"/>
      <c r="G10" s="314"/>
      <c r="H10" s="317"/>
      <c r="I10" s="314"/>
      <c r="J10" s="317"/>
      <c r="K10" s="314"/>
      <c r="L10" s="317"/>
      <c r="M10" s="314"/>
      <c r="N10" s="314"/>
    </row>
    <row r="11" spans="1:15" ht="15.75" thickBot="1">
      <c r="A11" s="388"/>
      <c r="B11" s="332"/>
      <c r="C11" s="315"/>
      <c r="D11" s="318"/>
      <c r="E11" s="315"/>
      <c r="F11" s="318"/>
      <c r="G11" s="315"/>
      <c r="H11" s="318"/>
      <c r="I11" s="315"/>
      <c r="J11" s="318"/>
      <c r="K11" s="315"/>
      <c r="L11" s="318"/>
      <c r="M11" s="315"/>
      <c r="N11" s="315"/>
    </row>
    <row r="12" spans="1:15" ht="15.75" thickBot="1">
      <c r="A12" s="60">
        <v>2</v>
      </c>
      <c r="B12" s="62">
        <v>4</v>
      </c>
      <c r="C12" s="63">
        <v>5</v>
      </c>
      <c r="D12" s="64">
        <v>6</v>
      </c>
      <c r="E12" s="63">
        <v>7</v>
      </c>
      <c r="F12" s="64">
        <v>8</v>
      </c>
      <c r="G12" s="63">
        <v>9</v>
      </c>
      <c r="H12" s="64">
        <v>10</v>
      </c>
      <c r="I12" s="63">
        <v>11</v>
      </c>
      <c r="J12" s="64">
        <v>12</v>
      </c>
      <c r="K12" s="63">
        <v>13</v>
      </c>
      <c r="L12" s="64">
        <v>14</v>
      </c>
      <c r="M12" s="63">
        <v>15</v>
      </c>
      <c r="N12" s="63">
        <v>16</v>
      </c>
    </row>
    <row r="13" spans="1:15" ht="15.75" thickBot="1">
      <c r="A13" s="261" t="s">
        <v>146</v>
      </c>
      <c r="B13" s="262">
        <v>13802467</v>
      </c>
      <c r="C13" s="263"/>
      <c r="D13" s="262"/>
      <c r="E13" s="263"/>
      <c r="F13" s="262">
        <v>2662694</v>
      </c>
      <c r="G13" s="263"/>
      <c r="H13" s="262"/>
      <c r="I13" s="263">
        <v>4890217</v>
      </c>
      <c r="J13" s="262"/>
      <c r="K13" s="263"/>
      <c r="L13" s="262"/>
      <c r="M13" s="262">
        <v>6249556</v>
      </c>
      <c r="N13" s="264"/>
      <c r="O13" s="123"/>
    </row>
    <row r="14" spans="1:15">
      <c r="A14" s="259"/>
      <c r="B14" s="259"/>
    </row>
    <row r="15" spans="1:15">
      <c r="A15" s="260"/>
      <c r="B15" s="260"/>
    </row>
  </sheetData>
  <mergeCells count="15">
    <mergeCell ref="M9:M11"/>
    <mergeCell ref="N9:N11"/>
    <mergeCell ref="A9:A11"/>
    <mergeCell ref="A7:N7"/>
    <mergeCell ref="B9:B11"/>
    <mergeCell ref="C9:C11"/>
    <mergeCell ref="D9:D11"/>
    <mergeCell ref="I9:I11"/>
    <mergeCell ref="J9:J11"/>
    <mergeCell ref="K9:K11"/>
    <mergeCell ref="L9:L11"/>
    <mergeCell ref="E9:E11"/>
    <mergeCell ref="F9:F11"/>
    <mergeCell ref="G9:G11"/>
    <mergeCell ref="H9:H11"/>
  </mergeCells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workbookViewId="0">
      <selection activeCell="P13" sqref="P13"/>
    </sheetView>
  </sheetViews>
  <sheetFormatPr defaultRowHeight="15"/>
  <cols>
    <col min="1" max="1" width="28.7109375" customWidth="1"/>
    <col min="16" max="16" width="14.710937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6" t="s">
        <v>224</v>
      </c>
      <c r="K2" s="4"/>
      <c r="L2" s="4"/>
      <c r="M2" s="4"/>
      <c r="N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5" t="s">
        <v>299</v>
      </c>
      <c r="K3" s="4"/>
      <c r="L3" s="4"/>
      <c r="M3" s="4"/>
      <c r="N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5" t="s">
        <v>0</v>
      </c>
      <c r="K4" s="4"/>
      <c r="L4" s="4"/>
      <c r="M4" s="4"/>
      <c r="N4" s="4"/>
    </row>
    <row r="5" spans="1:16">
      <c r="A5" s="4"/>
      <c r="B5" s="4"/>
      <c r="C5" s="4"/>
      <c r="D5" s="4"/>
      <c r="E5" s="4"/>
      <c r="F5" s="4"/>
      <c r="G5" s="4"/>
      <c r="H5" s="4"/>
      <c r="I5" s="4"/>
      <c r="J5" s="5" t="s">
        <v>300</v>
      </c>
      <c r="K5" s="4"/>
      <c r="L5" s="4"/>
      <c r="M5" s="4"/>
      <c r="N5" s="4"/>
    </row>
    <row r="6" spans="1:16">
      <c r="A6" s="4"/>
      <c r="B6" s="4"/>
      <c r="C6" s="4"/>
      <c r="D6" s="4"/>
      <c r="E6" s="4"/>
      <c r="F6" s="4"/>
      <c r="G6" s="4"/>
      <c r="H6" s="4"/>
      <c r="I6" s="4"/>
      <c r="J6" s="5"/>
      <c r="K6" s="4"/>
      <c r="L6" s="4"/>
      <c r="M6" s="4"/>
      <c r="N6" s="4"/>
    </row>
    <row r="7" spans="1:16">
      <c r="A7" s="389" t="s">
        <v>274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</row>
    <row r="8" spans="1:16" ht="15.75" thickBot="1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4"/>
      <c r="N8" s="4"/>
    </row>
    <row r="9" spans="1:16">
      <c r="A9" s="386" t="s">
        <v>223</v>
      </c>
      <c r="B9" s="330" t="s">
        <v>275</v>
      </c>
      <c r="C9" s="313" t="s">
        <v>56</v>
      </c>
      <c r="D9" s="316" t="s">
        <v>57</v>
      </c>
      <c r="E9" s="313" t="s">
        <v>58</v>
      </c>
      <c r="F9" s="316" t="s">
        <v>59</v>
      </c>
      <c r="G9" s="313" t="s">
        <v>60</v>
      </c>
      <c r="H9" s="316" t="s">
        <v>61</v>
      </c>
      <c r="I9" s="313" t="s">
        <v>62</v>
      </c>
      <c r="J9" s="316" t="s">
        <v>63</v>
      </c>
      <c r="K9" s="313" t="s">
        <v>64</v>
      </c>
      <c r="L9" s="316" t="s">
        <v>65</v>
      </c>
      <c r="M9" s="313" t="s">
        <v>66</v>
      </c>
      <c r="N9" s="313" t="s">
        <v>67</v>
      </c>
    </row>
    <row r="10" spans="1:16">
      <c r="A10" s="387"/>
      <c r="B10" s="331"/>
      <c r="C10" s="314"/>
      <c r="D10" s="317"/>
      <c r="E10" s="314"/>
      <c r="F10" s="317"/>
      <c r="G10" s="314"/>
      <c r="H10" s="317"/>
      <c r="I10" s="314"/>
      <c r="J10" s="317"/>
      <c r="K10" s="314"/>
      <c r="L10" s="317"/>
      <c r="M10" s="314"/>
      <c r="N10" s="314"/>
    </row>
    <row r="11" spans="1:16" ht="15.75" thickBot="1">
      <c r="A11" s="388"/>
      <c r="B11" s="332"/>
      <c r="C11" s="315"/>
      <c r="D11" s="318"/>
      <c r="E11" s="315"/>
      <c r="F11" s="318"/>
      <c r="G11" s="315"/>
      <c r="H11" s="318"/>
      <c r="I11" s="315"/>
      <c r="J11" s="318"/>
      <c r="K11" s="315"/>
      <c r="L11" s="318"/>
      <c r="M11" s="315"/>
      <c r="N11" s="315"/>
    </row>
    <row r="12" spans="1:16" ht="15.75" thickBot="1">
      <c r="A12" s="60">
        <v>1</v>
      </c>
      <c r="B12" s="62">
        <v>2</v>
      </c>
      <c r="C12" s="63">
        <v>3</v>
      </c>
      <c r="D12" s="64">
        <v>4</v>
      </c>
      <c r="E12" s="63">
        <v>5</v>
      </c>
      <c r="F12" s="64">
        <v>6</v>
      </c>
      <c r="G12" s="63">
        <v>7</v>
      </c>
      <c r="H12" s="64">
        <v>8</v>
      </c>
      <c r="I12" s="63">
        <v>9</v>
      </c>
      <c r="J12" s="64">
        <v>10</v>
      </c>
      <c r="K12" s="63">
        <v>11</v>
      </c>
      <c r="L12" s="64">
        <v>12</v>
      </c>
      <c r="M12" s="63">
        <v>13</v>
      </c>
      <c r="N12" s="63">
        <v>14</v>
      </c>
    </row>
    <row r="13" spans="1:16" ht="15.75" thickBot="1">
      <c r="A13" s="268" t="s">
        <v>192</v>
      </c>
      <c r="B13" s="265">
        <v>2633240</v>
      </c>
      <c r="C13" s="266">
        <v>19613.34</v>
      </c>
      <c r="D13" s="267"/>
      <c r="E13" s="266">
        <v>638696.66</v>
      </c>
      <c r="F13" s="267">
        <v>19613.34</v>
      </c>
      <c r="G13" s="266"/>
      <c r="H13" s="267">
        <v>638696.66</v>
      </c>
      <c r="I13" s="266">
        <v>19613.34</v>
      </c>
      <c r="J13" s="267"/>
      <c r="K13" s="266">
        <v>638696.66</v>
      </c>
      <c r="L13" s="267">
        <v>19613.34</v>
      </c>
      <c r="M13" s="266"/>
      <c r="N13" s="266">
        <v>638696.66</v>
      </c>
      <c r="P13" s="311"/>
    </row>
    <row r="14" spans="1:16">
      <c r="A14" s="259"/>
      <c r="B14" s="25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mergeCells count="15">
    <mergeCell ref="A7:N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Załącznik Nr 1</vt:lpstr>
      <vt:lpstr>Załącznik Nr 2</vt:lpstr>
      <vt:lpstr>Załącznik Nr 3</vt:lpstr>
      <vt:lpstr>Załącznik Nr 4</vt:lpstr>
      <vt:lpstr>Załącznik Nr 5</vt:lpstr>
      <vt:lpstr>Załącznik Nr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Bruzik</cp:lastModifiedBy>
  <cp:lastPrinted>2018-02-26T07:38:20Z</cp:lastPrinted>
  <dcterms:created xsi:type="dcterms:W3CDTF">2017-04-06T06:04:43Z</dcterms:created>
  <dcterms:modified xsi:type="dcterms:W3CDTF">2018-03-28T07:12:40Z</dcterms:modified>
</cp:coreProperties>
</file>