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/>
  <bookViews>
    <workbookView xWindow="0" yWindow="1260" windowWidth="15480" windowHeight="6930" tabRatio="256" firstSheet="2" activeTab="2"/>
  </bookViews>
  <sheets>
    <sheet name="dochody" sheetId="1" r:id="rId1"/>
    <sheet name="Arkusz2" sheetId="4" r:id="rId2"/>
    <sheet name="wydatki" sheetId="2" r:id="rId3"/>
    <sheet name="Arkusz1" sheetId="3" r:id="rId4"/>
    <sheet name="Arkusz3" sheetId="5" r:id="rId5"/>
  </sheets>
  <definedNames>
    <definedName name="_xlnm.Print_Area" localSheetId="0">dochody!$A$1:$E$237</definedName>
  </definedNames>
  <calcPr calcId="145621"/>
</workbook>
</file>

<file path=xl/calcChain.xml><?xml version="1.0" encoding="utf-8"?>
<calcChain xmlns="http://schemas.openxmlformats.org/spreadsheetml/2006/main">
  <c r="J373" i="2" l="1"/>
  <c r="J371" i="2"/>
  <c r="J661" i="2"/>
  <c r="J659" i="2"/>
  <c r="J646" i="2" s="1"/>
  <c r="J153" i="2"/>
  <c r="J151" i="2" s="1"/>
  <c r="K152" i="2"/>
  <c r="K130" i="2"/>
  <c r="J766" i="2"/>
  <c r="J765" i="2"/>
  <c r="K765" i="2"/>
  <c r="J764" i="2"/>
  <c r="K764" i="2"/>
  <c r="J763" i="2"/>
  <c r="J372" i="2"/>
  <c r="K372" i="2" s="1"/>
  <c r="J370" i="2"/>
  <c r="K370" i="2"/>
  <c r="K371" i="2"/>
  <c r="K813" i="2"/>
  <c r="K811" i="2"/>
  <c r="J810" i="2"/>
  <c r="K810" i="2"/>
  <c r="K809" i="2" s="1"/>
  <c r="I810" i="2"/>
  <c r="J803" i="2"/>
  <c r="K298" i="2"/>
  <c r="K297" i="2" s="1"/>
  <c r="J297" i="2"/>
  <c r="I297" i="2"/>
  <c r="J199" i="2"/>
  <c r="J195" i="2" s="1"/>
  <c r="J162" i="2" s="1"/>
  <c r="K201" i="2"/>
  <c r="J821" i="2"/>
  <c r="J820" i="2" s="1"/>
  <c r="J818" i="2"/>
  <c r="J815" i="2"/>
  <c r="K812" i="2"/>
  <c r="J812" i="2"/>
  <c r="J806" i="2"/>
  <c r="J804" i="2"/>
  <c r="J801" i="2"/>
  <c r="J798" i="2"/>
  <c r="J797" i="2"/>
  <c r="J795" i="2"/>
  <c r="J793" i="2"/>
  <c r="J792" i="2"/>
  <c r="J790" i="2"/>
  <c r="J786" i="2"/>
  <c r="J775" i="2"/>
  <c r="J773" i="2"/>
  <c r="J772" i="2"/>
  <c r="J771" i="2" s="1"/>
  <c r="J768" i="2"/>
  <c r="J767" i="2"/>
  <c r="J762" i="2"/>
  <c r="J751" i="2"/>
  <c r="J732" i="2"/>
  <c r="J730" i="2"/>
  <c r="J711" i="2"/>
  <c r="J709" i="2"/>
  <c r="J690" i="2"/>
  <c r="J688" i="2"/>
  <c r="J686" i="2"/>
  <c r="J675" i="2"/>
  <c r="J674" i="2"/>
  <c r="J665" i="2"/>
  <c r="J663" i="2"/>
  <c r="J657" i="2"/>
  <c r="J643" i="2"/>
  <c r="J629" i="2"/>
  <c r="J627" i="2"/>
  <c r="J622" i="2"/>
  <c r="J621" i="2"/>
  <c r="J612" i="2"/>
  <c r="J605" i="2" s="1"/>
  <c r="J606" i="2"/>
  <c r="J602" i="2"/>
  <c r="J600" i="2"/>
  <c r="J599" i="2" s="1"/>
  <c r="J595" i="2"/>
  <c r="J593" i="2"/>
  <c r="J559" i="2"/>
  <c r="J538" i="2" s="1"/>
  <c r="J545" i="2"/>
  <c r="J539" i="2"/>
  <c r="J536" i="2"/>
  <c r="J534" i="2"/>
  <c r="J533" i="2"/>
  <c r="J532" i="2"/>
  <c r="J529" i="2"/>
  <c r="J527" i="2"/>
  <c r="J525" i="2"/>
  <c r="J506" i="2"/>
  <c r="J500" i="2"/>
  <c r="J497" i="2"/>
  <c r="J477" i="2"/>
  <c r="J470" i="2"/>
  <c r="J453" i="2"/>
  <c r="J451" i="2"/>
  <c r="J445" i="2"/>
  <c r="J440" i="2"/>
  <c r="J439" i="2"/>
  <c r="J437" i="2"/>
  <c r="J436" i="2"/>
  <c r="J433" i="2"/>
  <c r="J432" i="2"/>
  <c r="J430" i="2"/>
  <c r="J428" i="2"/>
  <c r="J426" i="2"/>
  <c r="J423" i="2"/>
  <c r="J421" i="2"/>
  <c r="J420" i="2"/>
  <c r="J418" i="2"/>
  <c r="J408" i="2"/>
  <c r="J405" i="2"/>
  <c r="J361" i="2"/>
  <c r="J355" i="2"/>
  <c r="J354" i="2" s="1"/>
  <c r="J351" i="2"/>
  <c r="J349" i="2"/>
  <c r="J324" i="2"/>
  <c r="J306" i="2"/>
  <c r="J299" i="2" s="1"/>
  <c r="J300" i="2"/>
  <c r="J282" i="2"/>
  <c r="J280" i="2"/>
  <c r="J274" i="2"/>
  <c r="J273" i="2" s="1"/>
  <c r="J271" i="2"/>
  <c r="J269" i="2"/>
  <c r="J264" i="2"/>
  <c r="J263" i="2"/>
  <c r="J261" i="2"/>
  <c r="J259" i="2"/>
  <c r="J246" i="2"/>
  <c r="J244" i="2"/>
  <c r="J236" i="2" s="1"/>
  <c r="J242" i="2"/>
  <c r="J223" i="2"/>
  <c r="J221" i="2"/>
  <c r="J208" i="2"/>
  <c r="J207" i="2" s="1"/>
  <c r="J206" i="2" s="1"/>
  <c r="J204" i="2"/>
  <c r="J203" i="2"/>
  <c r="J202" i="2"/>
  <c r="J196" i="2"/>
  <c r="J193" i="2"/>
  <c r="J178" i="2"/>
  <c r="J176" i="2"/>
  <c r="J164" i="2"/>
  <c r="J163" i="2"/>
  <c r="J160" i="2"/>
  <c r="J159" i="2" s="1"/>
  <c r="J156" i="2"/>
  <c r="J154" i="2"/>
  <c r="J150" i="2" s="1"/>
  <c r="J146" i="2"/>
  <c r="J142" i="2"/>
  <c r="J139" i="2"/>
  <c r="J119" i="2"/>
  <c r="J112" i="2" s="1"/>
  <c r="J113" i="2"/>
  <c r="J110" i="2"/>
  <c r="J109" i="2"/>
  <c r="J107" i="2"/>
  <c r="J102" i="2"/>
  <c r="J98" i="2"/>
  <c r="J93" i="2"/>
  <c r="J92" i="2"/>
  <c r="J90" i="2"/>
  <c r="J88" i="2"/>
  <c r="J77" i="2"/>
  <c r="J65" i="2"/>
  <c r="J55" i="2" s="1"/>
  <c r="J54" i="2" s="1"/>
  <c r="J52" i="2"/>
  <c r="J51" i="2"/>
  <c r="J50" i="2"/>
  <c r="J41" i="2"/>
  <c r="J40" i="2" s="1"/>
  <c r="J26" i="2" s="1"/>
  <c r="J36" i="2"/>
  <c r="J34" i="2"/>
  <c r="J28" i="2"/>
  <c r="J24" i="2"/>
  <c r="J22" i="2"/>
  <c r="J19" i="2"/>
  <c r="J18" i="2"/>
  <c r="J16" i="2"/>
  <c r="J15" i="2"/>
  <c r="J12" i="2"/>
  <c r="J11" i="2"/>
  <c r="J10" i="2" s="1"/>
  <c r="I495" i="2"/>
  <c r="K495" i="2"/>
  <c r="H754" i="2"/>
  <c r="H755" i="2"/>
  <c r="H747" i="2"/>
  <c r="H735" i="2"/>
  <c r="H732" i="2" s="1"/>
  <c r="H734" i="2"/>
  <c r="H728" i="2"/>
  <c r="H726" i="2"/>
  <c r="H718" i="2"/>
  <c r="I718" i="2" s="1"/>
  <c r="H717" i="2"/>
  <c r="H715" i="2"/>
  <c r="H714" i="2"/>
  <c r="H713" i="2"/>
  <c r="H712" i="2"/>
  <c r="H705" i="2"/>
  <c r="H684" i="2"/>
  <c r="H683" i="2"/>
  <c r="H681" i="2"/>
  <c r="H678" i="2"/>
  <c r="H677" i="2"/>
  <c r="H676" i="2"/>
  <c r="H675" i="2" s="1"/>
  <c r="H674" i="2" s="1"/>
  <c r="H671" i="2"/>
  <c r="H661" i="2"/>
  <c r="H670" i="2"/>
  <c r="H660" i="2"/>
  <c r="H594" i="2"/>
  <c r="H520" i="2"/>
  <c r="H519" i="2"/>
  <c r="H517" i="2"/>
  <c r="I518" i="2"/>
  <c r="K518" i="2" s="1"/>
  <c r="H524" i="2"/>
  <c r="I505" i="2"/>
  <c r="K505" i="2" s="1"/>
  <c r="H504" i="2"/>
  <c r="H503" i="2"/>
  <c r="H502" i="2"/>
  <c r="H501" i="2"/>
  <c r="H462" i="2"/>
  <c r="H414" i="2"/>
  <c r="H410" i="2" s="1"/>
  <c r="H406" i="2"/>
  <c r="H402" i="2"/>
  <c r="H401" i="2"/>
  <c r="H399" i="2"/>
  <c r="I399" i="2" s="1"/>
  <c r="K399" i="2" s="1"/>
  <c r="H398" i="2"/>
  <c r="I398" i="2" s="1"/>
  <c r="K398" i="2" s="1"/>
  <c r="H396" i="2"/>
  <c r="H395" i="2"/>
  <c r="H394" i="2"/>
  <c r="H393" i="2"/>
  <c r="H391" i="2"/>
  <c r="H390" i="2"/>
  <c r="H389" i="2"/>
  <c r="H388" i="2" s="1"/>
  <c r="H404" i="2"/>
  <c r="I404" i="2" s="1"/>
  <c r="K404" i="2" s="1"/>
  <c r="H403" i="2"/>
  <c r="I403" i="2" s="1"/>
  <c r="K403" i="2" s="1"/>
  <c r="I401" i="2"/>
  <c r="K401" i="2"/>
  <c r="I400" i="2"/>
  <c r="K400" i="2" s="1"/>
  <c r="I397" i="2"/>
  <c r="K397" i="2"/>
  <c r="I394" i="2"/>
  <c r="K394" i="2" s="1"/>
  <c r="G405" i="2"/>
  <c r="G402" i="2"/>
  <c r="I402" i="2"/>
  <c r="K402" i="2" s="1"/>
  <c r="G398" i="2"/>
  <c r="G396" i="2"/>
  <c r="I396" i="2"/>
  <c r="K396" i="2"/>
  <c r="G395" i="2"/>
  <c r="I395" i="2" s="1"/>
  <c r="K395" i="2" s="1"/>
  <c r="G393" i="2"/>
  <c r="F392" i="2"/>
  <c r="E392" i="2"/>
  <c r="G391" i="2"/>
  <c r="I391" i="2"/>
  <c r="K391" i="2" s="1"/>
  <c r="G390" i="2"/>
  <c r="I390" i="2"/>
  <c r="K390" i="2"/>
  <c r="G389" i="2"/>
  <c r="F388" i="2"/>
  <c r="E388" i="2"/>
  <c r="H386" i="2"/>
  <c r="H385" i="2"/>
  <c r="H381" i="2"/>
  <c r="I381" i="2" s="1"/>
  <c r="H378" i="2"/>
  <c r="H375" i="2" s="1"/>
  <c r="H376" i="2"/>
  <c r="H348" i="2"/>
  <c r="H347" i="2"/>
  <c r="I347" i="2" s="1"/>
  <c r="H345" i="2"/>
  <c r="H319" i="2"/>
  <c r="H316" i="2"/>
  <c r="H311" i="2"/>
  <c r="H302" i="2"/>
  <c r="H304" i="2"/>
  <c r="H303" i="2"/>
  <c r="H301" i="2"/>
  <c r="H300" i="2" s="1"/>
  <c r="H309" i="2"/>
  <c r="H308" i="2" s="1"/>
  <c r="H312" i="2"/>
  <c r="H323" i="2"/>
  <c r="H321" i="2"/>
  <c r="H320" i="2"/>
  <c r="H318" i="2"/>
  <c r="H317" i="2"/>
  <c r="H315" i="2"/>
  <c r="H314" i="2"/>
  <c r="H313" i="2"/>
  <c r="H278" i="2"/>
  <c r="H277" i="2"/>
  <c r="H276" i="2"/>
  <c r="H294" i="2"/>
  <c r="H291" i="2"/>
  <c r="H290" i="2"/>
  <c r="H287" i="2"/>
  <c r="H286" i="2"/>
  <c r="H285" i="2"/>
  <c r="H275" i="2"/>
  <c r="H283" i="2"/>
  <c r="H282" i="2" s="1"/>
  <c r="H288" i="2"/>
  <c r="H293" i="2"/>
  <c r="H268" i="2"/>
  <c r="H267" i="2"/>
  <c r="H265" i="2"/>
  <c r="H257" i="2"/>
  <c r="H256" i="2"/>
  <c r="H254" i="2" s="1"/>
  <c r="H258" i="2"/>
  <c r="H255" i="2"/>
  <c r="H241" i="2"/>
  <c r="H240" i="2"/>
  <c r="H237" i="2" s="1"/>
  <c r="H236" i="2" s="1"/>
  <c r="H238" i="2"/>
  <c r="H219" i="2"/>
  <c r="H218" i="2"/>
  <c r="H216" i="2"/>
  <c r="H169" i="2"/>
  <c r="H168" i="2"/>
  <c r="H63" i="2"/>
  <c r="H61" i="2"/>
  <c r="H56" i="2" s="1"/>
  <c r="H49" i="2"/>
  <c r="H41" i="2" s="1"/>
  <c r="H40" i="2" s="1"/>
  <c r="H42" i="2"/>
  <c r="H38" i="2"/>
  <c r="H37" i="2"/>
  <c r="H32" i="2"/>
  <c r="H29" i="2"/>
  <c r="H496" i="2"/>
  <c r="H490" i="2"/>
  <c r="H484" i="2"/>
  <c r="H722" i="2"/>
  <c r="H720" i="2"/>
  <c r="H719" i="2"/>
  <c r="H694" i="2"/>
  <c r="H693" i="2"/>
  <c r="H657" i="2"/>
  <c r="H537" i="2"/>
  <c r="H534" i="2"/>
  <c r="H533" i="2"/>
  <c r="I535" i="2"/>
  <c r="K535" i="2"/>
  <c r="G536" i="2"/>
  <c r="H305" i="2"/>
  <c r="H212" i="2"/>
  <c r="H211" i="2" s="1"/>
  <c r="H158" i="2"/>
  <c r="H131" i="2"/>
  <c r="H125" i="2"/>
  <c r="H73" i="2"/>
  <c r="H761" i="2"/>
  <c r="I761" i="2" s="1"/>
  <c r="H617" i="2"/>
  <c r="H611" i="2"/>
  <c r="H438" i="2"/>
  <c r="H437" i="2" s="1"/>
  <c r="H436" i="2" s="1"/>
  <c r="H177" i="2"/>
  <c r="H176" i="2" s="1"/>
  <c r="H173" i="2"/>
  <c r="H172" i="2"/>
  <c r="H167" i="2"/>
  <c r="H166" i="2"/>
  <c r="H165" i="2"/>
  <c r="H91" i="2"/>
  <c r="H89" i="2"/>
  <c r="H88" i="2" s="1"/>
  <c r="H76" i="2"/>
  <c r="H71" i="2" s="1"/>
  <c r="H74" i="2"/>
  <c r="H821" i="2"/>
  <c r="H820" i="2"/>
  <c r="H818" i="2"/>
  <c r="H815" i="2"/>
  <c r="I812" i="2"/>
  <c r="H812" i="2"/>
  <c r="H809" i="2"/>
  <c r="H806" i="2"/>
  <c r="H804" i="2"/>
  <c r="H801" i="2"/>
  <c r="H798" i="2"/>
  <c r="H797" i="2" s="1"/>
  <c r="H795" i="2"/>
  <c r="H793" i="2"/>
  <c r="H792" i="2"/>
  <c r="H790" i="2"/>
  <c r="H786" i="2"/>
  <c r="H775" i="2"/>
  <c r="H773" i="2"/>
  <c r="H772" i="2" s="1"/>
  <c r="H771" i="2" s="1"/>
  <c r="H768" i="2"/>
  <c r="H767" i="2"/>
  <c r="H763" i="2"/>
  <c r="H762" i="2"/>
  <c r="H753" i="2"/>
  <c r="H751" i="2"/>
  <c r="H744" i="2" s="1"/>
  <c r="H745" i="2"/>
  <c r="H730" i="2"/>
  <c r="H724" i="2"/>
  <c r="H709" i="2"/>
  <c r="H703" i="2"/>
  <c r="H688" i="2"/>
  <c r="H686" i="2"/>
  <c r="H672" i="2"/>
  <c r="H668" i="2"/>
  <c r="H665" i="2"/>
  <c r="H663" i="2"/>
  <c r="H643" i="2"/>
  <c r="H629" i="2"/>
  <c r="H627" i="2"/>
  <c r="H622" i="2"/>
  <c r="H621" i="2" s="1"/>
  <c r="H612" i="2"/>
  <c r="H606" i="2"/>
  <c r="H602" i="2"/>
  <c r="H599" i="2" s="1"/>
  <c r="H600" i="2"/>
  <c r="H595" i="2"/>
  <c r="H593" i="2"/>
  <c r="H559" i="2"/>
  <c r="H545" i="2"/>
  <c r="H539" i="2"/>
  <c r="H529" i="2"/>
  <c r="H527" i="2"/>
  <c r="H525" i="2"/>
  <c r="H522" i="2"/>
  <c r="H506" i="2"/>
  <c r="H497" i="2"/>
  <c r="H479" i="2"/>
  <c r="H477" i="2"/>
  <c r="H470" i="2"/>
  <c r="H456" i="2"/>
  <c r="H453" i="2"/>
  <c r="H451" i="2"/>
  <c r="H445" i="2"/>
  <c r="H440" i="2"/>
  <c r="H439" i="2"/>
  <c r="H433" i="2"/>
  <c r="H432" i="2" s="1"/>
  <c r="H430" i="2"/>
  <c r="H428" i="2"/>
  <c r="H426" i="2"/>
  <c r="H423" i="2"/>
  <c r="H421" i="2"/>
  <c r="H420" i="2"/>
  <c r="H417" i="2"/>
  <c r="H418" i="2"/>
  <c r="H408" i="2"/>
  <c r="H407" i="2"/>
  <c r="H380" i="2"/>
  <c r="H369" i="2"/>
  <c r="H368" i="2"/>
  <c r="H361" i="2"/>
  <c r="H355" i="2"/>
  <c r="H354" i="2"/>
  <c r="H351" i="2"/>
  <c r="H349" i="2"/>
  <c r="H324" i="2"/>
  <c r="H306" i="2"/>
  <c r="H280" i="2"/>
  <c r="H271" i="2"/>
  <c r="H269" i="2"/>
  <c r="H261" i="2"/>
  <c r="H259" i="2"/>
  <c r="H246" i="2"/>
  <c r="H244" i="2"/>
  <c r="H242" i="2"/>
  <c r="H223" i="2"/>
  <c r="H221" i="2"/>
  <c r="H215" i="2"/>
  <c r="H210" i="2"/>
  <c r="H208" i="2"/>
  <c r="H207" i="2" s="1"/>
  <c r="H204" i="2"/>
  <c r="H203" i="2"/>
  <c r="H202" i="2" s="1"/>
  <c r="H199" i="2"/>
  <c r="H196" i="2"/>
  <c r="H195" i="2"/>
  <c r="H193" i="2"/>
  <c r="H178" i="2"/>
  <c r="H164" i="2"/>
  <c r="H163" i="2"/>
  <c r="H160" i="2"/>
  <c r="H159" i="2"/>
  <c r="H156" i="2"/>
  <c r="H154" i="2"/>
  <c r="H151" i="2"/>
  <c r="H146" i="2"/>
  <c r="H142" i="2"/>
  <c r="H141" i="2"/>
  <c r="H139" i="2"/>
  <c r="H121" i="2"/>
  <c r="H119" i="2"/>
  <c r="H113" i="2"/>
  <c r="H112" i="2" s="1"/>
  <c r="H110" i="2"/>
  <c r="H109" i="2"/>
  <c r="H107" i="2"/>
  <c r="H102" i="2"/>
  <c r="H98" i="2"/>
  <c r="H93" i="2"/>
  <c r="H90" i="2"/>
  <c r="H77" i="2"/>
  <c r="H65" i="2"/>
  <c r="H55" i="2"/>
  <c r="H54" i="2" s="1"/>
  <c r="H52" i="2"/>
  <c r="H51" i="2"/>
  <c r="H50" i="2"/>
  <c r="H34" i="2"/>
  <c r="H28" i="2"/>
  <c r="H24" i="2"/>
  <c r="H22" i="2"/>
  <c r="H21" i="2"/>
  <c r="H19" i="2"/>
  <c r="H18" i="2" s="1"/>
  <c r="H16" i="2"/>
  <c r="H15" i="2"/>
  <c r="H12" i="2"/>
  <c r="H11" i="2" s="1"/>
  <c r="H10" i="2" s="1"/>
  <c r="G662" i="2"/>
  <c r="I662" i="2"/>
  <c r="K662" i="2" s="1"/>
  <c r="G669" i="2"/>
  <c r="I669" i="2"/>
  <c r="K669" i="2" s="1"/>
  <c r="F668" i="2"/>
  <c r="F658" i="2"/>
  <c r="G658" i="2"/>
  <c r="I658" i="2" s="1"/>
  <c r="K658" i="2" s="1"/>
  <c r="F657" i="2"/>
  <c r="G659" i="2"/>
  <c r="I659" i="2" s="1"/>
  <c r="G660" i="2"/>
  <c r="G99" i="2"/>
  <c r="I99" i="2"/>
  <c r="K99" i="2"/>
  <c r="K98" i="2"/>
  <c r="F98" i="2"/>
  <c r="E98" i="2"/>
  <c r="G38" i="2"/>
  <c r="G664" i="2"/>
  <c r="I664" i="2" s="1"/>
  <c r="K664" i="2" s="1"/>
  <c r="K663" i="2" s="1"/>
  <c r="F663" i="2"/>
  <c r="E663" i="2"/>
  <c r="G822" i="2"/>
  <c r="I822" i="2"/>
  <c r="K822" i="2" s="1"/>
  <c r="K821" i="2" s="1"/>
  <c r="K820" i="2" s="1"/>
  <c r="G819" i="2"/>
  <c r="G817" i="2"/>
  <c r="I817" i="2" s="1"/>
  <c r="K817" i="2" s="1"/>
  <c r="G816" i="2"/>
  <c r="G807" i="2"/>
  <c r="I807" i="2"/>
  <c r="K807" i="2"/>
  <c r="K806" i="2" s="1"/>
  <c r="G805" i="2"/>
  <c r="I805" i="2"/>
  <c r="G803" i="2"/>
  <c r="I803" i="2" s="1"/>
  <c r="K803" i="2" s="1"/>
  <c r="G802" i="2"/>
  <c r="G799" i="2"/>
  <c r="G796" i="2"/>
  <c r="G794" i="2"/>
  <c r="I794" i="2" s="1"/>
  <c r="G788" i="2"/>
  <c r="I788" i="2"/>
  <c r="K788" i="2" s="1"/>
  <c r="G789" i="2"/>
  <c r="G787" i="2"/>
  <c r="G777" i="2"/>
  <c r="I777" i="2" s="1"/>
  <c r="G778" i="2"/>
  <c r="I778" i="2"/>
  <c r="K778" i="2"/>
  <c r="G779" i="2"/>
  <c r="I779" i="2" s="1"/>
  <c r="K779" i="2" s="1"/>
  <c r="G780" i="2"/>
  <c r="I780" i="2"/>
  <c r="K780" i="2" s="1"/>
  <c r="G781" i="2"/>
  <c r="I781" i="2"/>
  <c r="K781" i="2"/>
  <c r="G782" i="2"/>
  <c r="I782" i="2"/>
  <c r="K782" i="2"/>
  <c r="G783" i="2"/>
  <c r="I783" i="2" s="1"/>
  <c r="K783" i="2" s="1"/>
  <c r="G784" i="2"/>
  <c r="I784" i="2" s="1"/>
  <c r="K784" i="2" s="1"/>
  <c r="G785" i="2"/>
  <c r="I785" i="2"/>
  <c r="K785" i="2"/>
  <c r="G776" i="2"/>
  <c r="I776" i="2"/>
  <c r="K776" i="2"/>
  <c r="G774" i="2"/>
  <c r="I774" i="2" s="1"/>
  <c r="G770" i="2"/>
  <c r="I770" i="2"/>
  <c r="K770" i="2"/>
  <c r="G769" i="2"/>
  <c r="I769" i="2"/>
  <c r="K769" i="2"/>
  <c r="G766" i="2"/>
  <c r="I766" i="2" s="1"/>
  <c r="K766" i="2" s="1"/>
  <c r="G759" i="2"/>
  <c r="I759" i="2" s="1"/>
  <c r="K759" i="2" s="1"/>
  <c r="G761" i="2"/>
  <c r="K761" i="2"/>
  <c r="G739" i="2"/>
  <c r="I739" i="2"/>
  <c r="K739" i="2"/>
  <c r="G740" i="2"/>
  <c r="I740" i="2" s="1"/>
  <c r="K740" i="2" s="1"/>
  <c r="G741" i="2"/>
  <c r="I741" i="2" s="1"/>
  <c r="K741" i="2" s="1"/>
  <c r="G713" i="2"/>
  <c r="I713" i="2"/>
  <c r="K713" i="2"/>
  <c r="G714" i="2"/>
  <c r="I714" i="2"/>
  <c r="K714" i="2"/>
  <c r="G715" i="2"/>
  <c r="I715" i="2" s="1"/>
  <c r="K715" i="2" s="1"/>
  <c r="G716" i="2"/>
  <c r="I716" i="2"/>
  <c r="K716" i="2" s="1"/>
  <c r="G717" i="2"/>
  <c r="I717" i="2"/>
  <c r="K717" i="2" s="1"/>
  <c r="G718" i="2"/>
  <c r="K718" i="2"/>
  <c r="G719" i="2"/>
  <c r="G720" i="2"/>
  <c r="I720" i="2"/>
  <c r="K720" i="2" s="1"/>
  <c r="G721" i="2"/>
  <c r="I721" i="2"/>
  <c r="K721" i="2" s="1"/>
  <c r="G722" i="2"/>
  <c r="I722" i="2"/>
  <c r="K722" i="2"/>
  <c r="G712" i="2"/>
  <c r="I712" i="2" s="1"/>
  <c r="K712" i="2" s="1"/>
  <c r="G710" i="2"/>
  <c r="I710" i="2"/>
  <c r="K710" i="2" s="1"/>
  <c r="K709" i="2" s="1"/>
  <c r="G705" i="2"/>
  <c r="I705" i="2" s="1"/>
  <c r="G706" i="2"/>
  <c r="I706" i="2"/>
  <c r="K706" i="2"/>
  <c r="G707" i="2"/>
  <c r="I707" i="2" s="1"/>
  <c r="K707" i="2" s="1"/>
  <c r="G708" i="2"/>
  <c r="I708" i="2"/>
  <c r="K708" i="2" s="1"/>
  <c r="G704" i="2"/>
  <c r="I704" i="2"/>
  <c r="G692" i="2"/>
  <c r="I692" i="2" s="1"/>
  <c r="K692" i="2" s="1"/>
  <c r="G693" i="2"/>
  <c r="G694" i="2"/>
  <c r="G695" i="2"/>
  <c r="I695" i="2"/>
  <c r="K695" i="2"/>
  <c r="G696" i="2"/>
  <c r="I696" i="2" s="1"/>
  <c r="K696" i="2" s="1"/>
  <c r="G697" i="2"/>
  <c r="I697" i="2"/>
  <c r="K697" i="2" s="1"/>
  <c r="G698" i="2"/>
  <c r="I698" i="2"/>
  <c r="K698" i="2" s="1"/>
  <c r="G699" i="2"/>
  <c r="I699" i="2"/>
  <c r="K699" i="2"/>
  <c r="G700" i="2"/>
  <c r="I700" i="2" s="1"/>
  <c r="K700" i="2" s="1"/>
  <c r="G701" i="2"/>
  <c r="I701" i="2"/>
  <c r="K701" i="2" s="1"/>
  <c r="G691" i="2"/>
  <c r="I691" i="2"/>
  <c r="K691" i="2"/>
  <c r="G689" i="2"/>
  <c r="I689" i="2"/>
  <c r="G687" i="2"/>
  <c r="I687" i="2"/>
  <c r="K687" i="2" s="1"/>
  <c r="K686" i="2" s="1"/>
  <c r="G682" i="2"/>
  <c r="I682" i="2"/>
  <c r="K682" i="2" s="1"/>
  <c r="G683" i="2"/>
  <c r="G684" i="2"/>
  <c r="I684" i="2"/>
  <c r="K684" i="2"/>
  <c r="G685" i="2"/>
  <c r="I685" i="2" s="1"/>
  <c r="K685" i="2" s="1"/>
  <c r="G681" i="2"/>
  <c r="I681" i="2"/>
  <c r="G677" i="2"/>
  <c r="I677" i="2"/>
  <c r="K677" i="2" s="1"/>
  <c r="G678" i="2"/>
  <c r="I678" i="2" s="1"/>
  <c r="K678" i="2"/>
  <c r="G676" i="2"/>
  <c r="I676" i="2" s="1"/>
  <c r="K676" i="2" s="1"/>
  <c r="G670" i="2"/>
  <c r="I670" i="2"/>
  <c r="G667" i="2"/>
  <c r="G666" i="2"/>
  <c r="I666" i="2"/>
  <c r="K666" i="2" s="1"/>
  <c r="G648" i="2"/>
  <c r="I648" i="2"/>
  <c r="G649" i="2"/>
  <c r="I649" i="2"/>
  <c r="K649" i="2" s="1"/>
  <c r="G650" i="2"/>
  <c r="I650" i="2" s="1"/>
  <c r="K650" i="2"/>
  <c r="G651" i="2"/>
  <c r="I651" i="2" s="1"/>
  <c r="K651" i="2" s="1"/>
  <c r="G652" i="2"/>
  <c r="I652" i="2"/>
  <c r="K652" i="2" s="1"/>
  <c r="G653" i="2"/>
  <c r="I653" i="2"/>
  <c r="K653" i="2"/>
  <c r="G654" i="2"/>
  <c r="I654" i="2" s="1"/>
  <c r="K654" i="2" s="1"/>
  <c r="G655" i="2"/>
  <c r="I655" i="2"/>
  <c r="K655" i="2" s="1"/>
  <c r="G656" i="2"/>
  <c r="I656" i="2" s="1"/>
  <c r="K656" i="2" s="1"/>
  <c r="G657" i="2"/>
  <c r="I657" i="2" s="1"/>
  <c r="K657" i="2" s="1"/>
  <c r="G647" i="2"/>
  <c r="I647" i="2"/>
  <c r="K647" i="2" s="1"/>
  <c r="G644" i="2"/>
  <c r="I644" i="2"/>
  <c r="G631" i="2"/>
  <c r="I631" i="2" s="1"/>
  <c r="G632" i="2"/>
  <c r="I632" i="2"/>
  <c r="K632" i="2"/>
  <c r="G633" i="2"/>
  <c r="I633" i="2" s="1"/>
  <c r="K633" i="2" s="1"/>
  <c r="G634" i="2"/>
  <c r="I634" i="2"/>
  <c r="K634" i="2" s="1"/>
  <c r="G635" i="2"/>
  <c r="I635" i="2"/>
  <c r="K635" i="2" s="1"/>
  <c r="G636" i="2"/>
  <c r="I636" i="2"/>
  <c r="K636" i="2"/>
  <c r="G637" i="2"/>
  <c r="I637" i="2" s="1"/>
  <c r="K637" i="2" s="1"/>
  <c r="G638" i="2"/>
  <c r="G639" i="2"/>
  <c r="I639" i="2"/>
  <c r="K639" i="2"/>
  <c r="G640" i="2"/>
  <c r="I640" i="2"/>
  <c r="K640" i="2"/>
  <c r="G641" i="2"/>
  <c r="I641" i="2" s="1"/>
  <c r="K641" i="2" s="1"/>
  <c r="G642" i="2"/>
  <c r="I642" i="2" s="1"/>
  <c r="K642" i="2" s="1"/>
  <c r="G630" i="2"/>
  <c r="I630" i="2"/>
  <c r="K630" i="2"/>
  <c r="G628" i="2"/>
  <c r="I628" i="2"/>
  <c r="K628" i="2"/>
  <c r="K627" i="2"/>
  <c r="G624" i="2"/>
  <c r="I624" i="2"/>
  <c r="K624" i="2"/>
  <c r="G625" i="2"/>
  <c r="I625" i="2" s="1"/>
  <c r="K625" i="2" s="1"/>
  <c r="G626" i="2"/>
  <c r="I626" i="2" s="1"/>
  <c r="K626" i="2" s="1"/>
  <c r="G623" i="2"/>
  <c r="I623" i="2"/>
  <c r="G614" i="2"/>
  <c r="I614" i="2" s="1"/>
  <c r="K614" i="2" s="1"/>
  <c r="G615" i="2"/>
  <c r="I615" i="2"/>
  <c r="K615" i="2" s="1"/>
  <c r="G616" i="2"/>
  <c r="I616" i="2"/>
  <c r="K616" i="2" s="1"/>
  <c r="G617" i="2"/>
  <c r="I617" i="2"/>
  <c r="K617" i="2"/>
  <c r="G618" i="2"/>
  <c r="I618" i="2" s="1"/>
  <c r="K618" i="2" s="1"/>
  <c r="G619" i="2"/>
  <c r="I619" i="2" s="1"/>
  <c r="K619" i="2" s="1"/>
  <c r="G620" i="2"/>
  <c r="I620" i="2"/>
  <c r="K620" i="2"/>
  <c r="G613" i="2"/>
  <c r="I613" i="2"/>
  <c r="K613" i="2"/>
  <c r="G608" i="2"/>
  <c r="I608" i="2" s="1"/>
  <c r="K608" i="2" s="1"/>
  <c r="G609" i="2"/>
  <c r="I609" i="2" s="1"/>
  <c r="K609" i="2" s="1"/>
  <c r="G610" i="2"/>
  <c r="I610" i="2"/>
  <c r="K610" i="2"/>
  <c r="G611" i="2"/>
  <c r="I611" i="2"/>
  <c r="K611" i="2"/>
  <c r="G607" i="2"/>
  <c r="I607" i="2" s="1"/>
  <c r="K607" i="2" s="1"/>
  <c r="G604" i="2"/>
  <c r="I604" i="2" s="1"/>
  <c r="K604" i="2" s="1"/>
  <c r="G603" i="2"/>
  <c r="I603" i="2"/>
  <c r="K603" i="2" s="1"/>
  <c r="K602" i="2" s="1"/>
  <c r="G601" i="2"/>
  <c r="I601" i="2"/>
  <c r="K601" i="2" s="1"/>
  <c r="K600" i="2" s="1"/>
  <c r="G597" i="2"/>
  <c r="I597" i="2" s="1"/>
  <c r="K597" i="2" s="1"/>
  <c r="G596" i="2"/>
  <c r="I596" i="2"/>
  <c r="G594" i="2"/>
  <c r="I594" i="2" s="1"/>
  <c r="K594" i="2" s="1"/>
  <c r="K593" i="2" s="1"/>
  <c r="G561" i="2"/>
  <c r="I561" i="2" s="1"/>
  <c r="K561" i="2" s="1"/>
  <c r="G562" i="2"/>
  <c r="I562" i="2" s="1"/>
  <c r="K562" i="2" s="1"/>
  <c r="G563" i="2"/>
  <c r="I563" i="2"/>
  <c r="K563" i="2"/>
  <c r="G564" i="2"/>
  <c r="I564" i="2"/>
  <c r="K564" i="2"/>
  <c r="G565" i="2"/>
  <c r="I565" i="2" s="1"/>
  <c r="K565" i="2" s="1"/>
  <c r="G566" i="2"/>
  <c r="I566" i="2" s="1"/>
  <c r="K566" i="2" s="1"/>
  <c r="G567" i="2"/>
  <c r="I567" i="2"/>
  <c r="K567" i="2" s="1"/>
  <c r="G568" i="2"/>
  <c r="I568" i="2"/>
  <c r="K568" i="2"/>
  <c r="G569" i="2"/>
  <c r="I569" i="2" s="1"/>
  <c r="K569" i="2" s="1"/>
  <c r="G570" i="2"/>
  <c r="I570" i="2"/>
  <c r="K570" i="2" s="1"/>
  <c r="G571" i="2"/>
  <c r="I571" i="2"/>
  <c r="K571" i="2" s="1"/>
  <c r="G572" i="2"/>
  <c r="I572" i="2"/>
  <c r="K572" i="2"/>
  <c r="G573" i="2"/>
  <c r="I573" i="2" s="1"/>
  <c r="K573" i="2" s="1"/>
  <c r="G574" i="2"/>
  <c r="I574" i="2"/>
  <c r="K574" i="2" s="1"/>
  <c r="G575" i="2"/>
  <c r="I575" i="2"/>
  <c r="K575" i="2"/>
  <c r="G576" i="2"/>
  <c r="I576" i="2"/>
  <c r="K576" i="2"/>
  <c r="G577" i="2"/>
  <c r="I577" i="2" s="1"/>
  <c r="K577" i="2" s="1"/>
  <c r="G578" i="2"/>
  <c r="I578" i="2" s="1"/>
  <c r="K578" i="2" s="1"/>
  <c r="G579" i="2"/>
  <c r="I579" i="2"/>
  <c r="K579" i="2"/>
  <c r="G580" i="2"/>
  <c r="I580" i="2"/>
  <c r="K580" i="2"/>
  <c r="G581" i="2"/>
  <c r="I581" i="2" s="1"/>
  <c r="K581" i="2" s="1"/>
  <c r="G582" i="2"/>
  <c r="I582" i="2" s="1"/>
  <c r="K582" i="2" s="1"/>
  <c r="G583" i="2"/>
  <c r="I583" i="2"/>
  <c r="K583" i="2" s="1"/>
  <c r="G584" i="2"/>
  <c r="I584" i="2"/>
  <c r="K584" i="2"/>
  <c r="G585" i="2"/>
  <c r="I585" i="2" s="1"/>
  <c r="K585" i="2" s="1"/>
  <c r="G586" i="2"/>
  <c r="I586" i="2"/>
  <c r="K586" i="2" s="1"/>
  <c r="G587" i="2"/>
  <c r="I587" i="2"/>
  <c r="K587" i="2" s="1"/>
  <c r="G588" i="2"/>
  <c r="I588" i="2"/>
  <c r="K588" i="2"/>
  <c r="G589" i="2"/>
  <c r="I589" i="2" s="1"/>
  <c r="K589" i="2" s="1"/>
  <c r="G590" i="2"/>
  <c r="I590" i="2"/>
  <c r="K590" i="2" s="1"/>
  <c r="G591" i="2"/>
  <c r="I591" i="2"/>
  <c r="K591" i="2"/>
  <c r="G560" i="2"/>
  <c r="I560" i="2"/>
  <c r="K560" i="2"/>
  <c r="G547" i="2"/>
  <c r="G548" i="2"/>
  <c r="I548" i="2"/>
  <c r="K548" i="2" s="1"/>
  <c r="G549" i="2"/>
  <c r="I549" i="2"/>
  <c r="K549" i="2"/>
  <c r="G550" i="2"/>
  <c r="I550" i="2" s="1"/>
  <c r="K550" i="2" s="1"/>
  <c r="G551" i="2"/>
  <c r="I551" i="2"/>
  <c r="K551" i="2" s="1"/>
  <c r="G552" i="2"/>
  <c r="I552" i="2"/>
  <c r="K552" i="2"/>
  <c r="G553" i="2"/>
  <c r="I553" i="2"/>
  <c r="K553" i="2"/>
  <c r="G554" i="2"/>
  <c r="I554" i="2" s="1"/>
  <c r="K554" i="2" s="1"/>
  <c r="G555" i="2"/>
  <c r="I555" i="2" s="1"/>
  <c r="K555" i="2" s="1"/>
  <c r="G556" i="2"/>
  <c r="I556" i="2"/>
  <c r="K556" i="2" s="1"/>
  <c r="G557" i="2"/>
  <c r="I557" i="2"/>
  <c r="K557" i="2"/>
  <c r="G558" i="2"/>
  <c r="I558" i="2" s="1"/>
  <c r="K558" i="2" s="1"/>
  <c r="G546" i="2"/>
  <c r="I546" i="2" s="1"/>
  <c r="K546" i="2" s="1"/>
  <c r="G541" i="2"/>
  <c r="I541" i="2"/>
  <c r="K541" i="2" s="1"/>
  <c r="G542" i="2"/>
  <c r="I542" i="2"/>
  <c r="K542" i="2"/>
  <c r="G543" i="2"/>
  <c r="I543" i="2" s="1"/>
  <c r="K543" i="2" s="1"/>
  <c r="G544" i="2"/>
  <c r="I544" i="2"/>
  <c r="K544" i="2" s="1"/>
  <c r="G540" i="2"/>
  <c r="I540" i="2"/>
  <c r="K540" i="2" s="1"/>
  <c r="G534" i="2"/>
  <c r="I534" i="2"/>
  <c r="K534" i="2" s="1"/>
  <c r="G533" i="2"/>
  <c r="G530" i="2"/>
  <c r="I530" i="2"/>
  <c r="G528" i="2"/>
  <c r="I528" i="2" s="1"/>
  <c r="K528" i="2" s="1"/>
  <c r="K527" i="2" s="1"/>
  <c r="G526" i="2"/>
  <c r="G524" i="2"/>
  <c r="I524" i="2"/>
  <c r="G523" i="2"/>
  <c r="I523" i="2" s="1"/>
  <c r="G520" i="2"/>
  <c r="I520" i="2"/>
  <c r="K520" i="2" s="1"/>
  <c r="G521" i="2"/>
  <c r="I521" i="2"/>
  <c r="K521" i="2"/>
  <c r="G519" i="2"/>
  <c r="I519" i="2" s="1"/>
  <c r="G508" i="2"/>
  <c r="G509" i="2"/>
  <c r="I509" i="2" s="1"/>
  <c r="K509" i="2" s="1"/>
  <c r="G510" i="2"/>
  <c r="I510" i="2"/>
  <c r="K510" i="2"/>
  <c r="G511" i="2"/>
  <c r="I511" i="2"/>
  <c r="K511" i="2"/>
  <c r="G512" i="2"/>
  <c r="I512" i="2" s="1"/>
  <c r="K512" i="2" s="1"/>
  <c r="G513" i="2"/>
  <c r="I513" i="2" s="1"/>
  <c r="K513" i="2" s="1"/>
  <c r="G514" i="2"/>
  <c r="I514" i="2"/>
  <c r="K514" i="2"/>
  <c r="G515" i="2"/>
  <c r="I515" i="2"/>
  <c r="K515" i="2"/>
  <c r="G507" i="2"/>
  <c r="I507" i="2" s="1"/>
  <c r="K507" i="2" s="1"/>
  <c r="G502" i="2"/>
  <c r="G503" i="2"/>
  <c r="I503" i="2"/>
  <c r="K503" i="2" s="1"/>
  <c r="G504" i="2"/>
  <c r="I504" i="2"/>
  <c r="K504" i="2"/>
  <c r="G501" i="2"/>
  <c r="G500" i="2" s="1"/>
  <c r="G498" i="2"/>
  <c r="I498" i="2"/>
  <c r="K498" i="2" s="1"/>
  <c r="K497" i="2" s="1"/>
  <c r="G458" i="2"/>
  <c r="I458" i="2"/>
  <c r="K458" i="2"/>
  <c r="G459" i="2"/>
  <c r="I459" i="2"/>
  <c r="K459" i="2"/>
  <c r="G460" i="2"/>
  <c r="I460" i="2" s="1"/>
  <c r="K460" i="2" s="1"/>
  <c r="G461" i="2"/>
  <c r="I461" i="2" s="1"/>
  <c r="K461" i="2" s="1"/>
  <c r="G462" i="2"/>
  <c r="I462" i="2"/>
  <c r="G463" i="2"/>
  <c r="I463" i="2" s="1"/>
  <c r="K463" i="2" s="1"/>
  <c r="G464" i="2"/>
  <c r="I464" i="2" s="1"/>
  <c r="K464" i="2" s="1"/>
  <c r="G465" i="2"/>
  <c r="I465" i="2"/>
  <c r="K465" i="2" s="1"/>
  <c r="G466" i="2"/>
  <c r="I466" i="2"/>
  <c r="K466" i="2"/>
  <c r="G467" i="2"/>
  <c r="I467" i="2" s="1"/>
  <c r="K467" i="2" s="1"/>
  <c r="G468" i="2"/>
  <c r="I468" i="2"/>
  <c r="K468" i="2" s="1"/>
  <c r="G457" i="2"/>
  <c r="I457" i="2"/>
  <c r="K457" i="2" s="1"/>
  <c r="G454" i="2"/>
  <c r="I454" i="2"/>
  <c r="K454" i="2"/>
  <c r="G452" i="2"/>
  <c r="I452" i="2" s="1"/>
  <c r="G447" i="2"/>
  <c r="I447" i="2"/>
  <c r="K447" i="2" s="1"/>
  <c r="G448" i="2"/>
  <c r="I448" i="2"/>
  <c r="K448" i="2"/>
  <c r="G449" i="2"/>
  <c r="I449" i="2" s="1"/>
  <c r="K449" i="2" s="1"/>
  <c r="G450" i="2"/>
  <c r="I450" i="2"/>
  <c r="K450" i="2" s="1"/>
  <c r="G446" i="2"/>
  <c r="I446" i="2"/>
  <c r="K446" i="2" s="1"/>
  <c r="G442" i="2"/>
  <c r="I442" i="2"/>
  <c r="K442" i="2"/>
  <c r="G441" i="2"/>
  <c r="I441" i="2" s="1"/>
  <c r="K441" i="2" s="1"/>
  <c r="K440" i="2"/>
  <c r="K439" i="2"/>
  <c r="G435" i="2"/>
  <c r="I435" i="2"/>
  <c r="K435" i="2"/>
  <c r="G434" i="2"/>
  <c r="I434" i="2" s="1"/>
  <c r="K434" i="2" s="1"/>
  <c r="K433" i="2" s="1"/>
  <c r="K432" i="2" s="1"/>
  <c r="G431" i="2"/>
  <c r="I431" i="2"/>
  <c r="K431" i="2"/>
  <c r="K430" i="2" s="1"/>
  <c r="G429" i="2"/>
  <c r="I429" i="2"/>
  <c r="G425" i="2"/>
  <c r="I425" i="2" s="1"/>
  <c r="K425" i="2" s="1"/>
  <c r="G424" i="2"/>
  <c r="I424" i="2"/>
  <c r="K424" i="2" s="1"/>
  <c r="K423" i="2" s="1"/>
  <c r="G422" i="2"/>
  <c r="I422" i="2"/>
  <c r="G419" i="2"/>
  <c r="I419" i="2" s="1"/>
  <c r="G413" i="2"/>
  <c r="I413" i="2"/>
  <c r="K413" i="2"/>
  <c r="G386" i="2"/>
  <c r="I386" i="2"/>
  <c r="K386" i="2"/>
  <c r="G382" i="2"/>
  <c r="I382" i="2" s="1"/>
  <c r="K382" i="2" s="1"/>
  <c r="G383" i="2"/>
  <c r="G384" i="2"/>
  <c r="I384" i="2" s="1"/>
  <c r="K384" i="2" s="1"/>
  <c r="G385" i="2"/>
  <c r="I385" i="2"/>
  <c r="G381" i="2"/>
  <c r="G377" i="2"/>
  <c r="I377" i="2" s="1"/>
  <c r="K377" i="2" s="1"/>
  <c r="G378" i="2"/>
  <c r="I378" i="2"/>
  <c r="G379" i="2"/>
  <c r="I379" i="2" s="1"/>
  <c r="K379" i="2" s="1"/>
  <c r="G376" i="2"/>
  <c r="I376" i="2"/>
  <c r="K376" i="2" s="1"/>
  <c r="G373" i="2"/>
  <c r="I373" i="2"/>
  <c r="G363" i="2"/>
  <c r="G364" i="2"/>
  <c r="I364" i="2"/>
  <c r="K364" i="2"/>
  <c r="G365" i="2"/>
  <c r="I365" i="2" s="1"/>
  <c r="K365" i="2" s="1"/>
  <c r="G366" i="2"/>
  <c r="I366" i="2" s="1"/>
  <c r="K366" i="2" s="1"/>
  <c r="G367" i="2"/>
  <c r="I367" i="2"/>
  <c r="K367" i="2"/>
  <c r="G362" i="2"/>
  <c r="I362" i="2"/>
  <c r="G357" i="2"/>
  <c r="I357" i="2"/>
  <c r="K357" i="2" s="1"/>
  <c r="G358" i="2"/>
  <c r="I358" i="2"/>
  <c r="K358" i="2" s="1"/>
  <c r="G359" i="2"/>
  <c r="I359" i="2"/>
  <c r="K359" i="2"/>
  <c r="G360" i="2"/>
  <c r="I360" i="2" s="1"/>
  <c r="K360" i="2" s="1"/>
  <c r="G356" i="2"/>
  <c r="I356" i="2"/>
  <c r="K356" i="2" s="1"/>
  <c r="K355" i="2" s="1"/>
  <c r="G353" i="2"/>
  <c r="I353" i="2" s="1"/>
  <c r="K353" i="2" s="1"/>
  <c r="G352" i="2"/>
  <c r="I352" i="2"/>
  <c r="K352" i="2" s="1"/>
  <c r="K351" i="2" s="1"/>
  <c r="G350" i="2"/>
  <c r="I350" i="2"/>
  <c r="K350" i="2" s="1"/>
  <c r="K349" i="2" s="1"/>
  <c r="G346" i="2"/>
  <c r="I346" i="2"/>
  <c r="K346" i="2"/>
  <c r="G347" i="2"/>
  <c r="G348" i="2"/>
  <c r="I348" i="2" s="1"/>
  <c r="K348" i="2" s="1"/>
  <c r="G345" i="2"/>
  <c r="I345" i="2"/>
  <c r="K345" i="2" s="1"/>
  <c r="G307" i="2"/>
  <c r="I307" i="2"/>
  <c r="G281" i="2"/>
  <c r="G272" i="2"/>
  <c r="I272" i="2"/>
  <c r="G270" i="2"/>
  <c r="I270" i="2"/>
  <c r="K270" i="2"/>
  <c r="K269" i="2"/>
  <c r="G266" i="2"/>
  <c r="I266" i="2"/>
  <c r="K266" i="2"/>
  <c r="G267" i="2"/>
  <c r="I267" i="2" s="1"/>
  <c r="K267" i="2" s="1"/>
  <c r="G268" i="2"/>
  <c r="I268" i="2" s="1"/>
  <c r="K268" i="2" s="1"/>
  <c r="G265" i="2"/>
  <c r="I265" i="2"/>
  <c r="K265" i="2" s="1"/>
  <c r="G248" i="2"/>
  <c r="I248" i="2"/>
  <c r="K248" i="2"/>
  <c r="G249" i="2"/>
  <c r="I249" i="2" s="1"/>
  <c r="K249" i="2" s="1"/>
  <c r="G250" i="2"/>
  <c r="I250" i="2" s="1"/>
  <c r="K250" i="2" s="1"/>
  <c r="G251" i="2"/>
  <c r="I251" i="2"/>
  <c r="K251" i="2" s="1"/>
  <c r="G252" i="2"/>
  <c r="I252" i="2"/>
  <c r="K252" i="2"/>
  <c r="G247" i="2"/>
  <c r="I247" i="2" s="1"/>
  <c r="G245" i="2"/>
  <c r="I245" i="2"/>
  <c r="G243" i="2"/>
  <c r="G239" i="2"/>
  <c r="I239" i="2" s="1"/>
  <c r="K239" i="2" s="1"/>
  <c r="G240" i="2"/>
  <c r="I240" i="2"/>
  <c r="G241" i="2"/>
  <c r="I241" i="2"/>
  <c r="K241" i="2"/>
  <c r="G238" i="2"/>
  <c r="I238" i="2" s="1"/>
  <c r="K238" i="2" s="1"/>
  <c r="G225" i="2"/>
  <c r="I225" i="2" s="1"/>
  <c r="G226" i="2"/>
  <c r="I226" i="2"/>
  <c r="K226" i="2"/>
  <c r="G227" i="2"/>
  <c r="I227" i="2" s="1"/>
  <c r="K227" i="2" s="1"/>
  <c r="G228" i="2"/>
  <c r="I228" i="2" s="1"/>
  <c r="K228" i="2" s="1"/>
  <c r="G229" i="2"/>
  <c r="I229" i="2"/>
  <c r="K229" i="2"/>
  <c r="G230" i="2"/>
  <c r="I230" i="2"/>
  <c r="K230" i="2"/>
  <c r="G231" i="2"/>
  <c r="I231" i="2" s="1"/>
  <c r="K231" i="2" s="1"/>
  <c r="G232" i="2"/>
  <c r="I232" i="2" s="1"/>
  <c r="K232" i="2" s="1"/>
  <c r="G233" i="2"/>
  <c r="I233" i="2"/>
  <c r="K233" i="2" s="1"/>
  <c r="G234" i="2"/>
  <c r="I234" i="2"/>
  <c r="K234" i="2"/>
  <c r="G235" i="2"/>
  <c r="I235" i="2" s="1"/>
  <c r="K235" i="2" s="1"/>
  <c r="G224" i="2"/>
  <c r="I224" i="2" s="1"/>
  <c r="K224" i="2" s="1"/>
  <c r="G222" i="2"/>
  <c r="I222" i="2"/>
  <c r="G217" i="2"/>
  <c r="I217" i="2" s="1"/>
  <c r="K217" i="2" s="1"/>
  <c r="G218" i="2"/>
  <c r="I218" i="2"/>
  <c r="K218" i="2" s="1"/>
  <c r="G219" i="2"/>
  <c r="I219" i="2"/>
  <c r="K219" i="2" s="1"/>
  <c r="G220" i="2"/>
  <c r="I220" i="2"/>
  <c r="K220" i="2"/>
  <c r="G216" i="2"/>
  <c r="I216" i="2" s="1"/>
  <c r="K216" i="2" s="1"/>
  <c r="G212" i="2"/>
  <c r="I212" i="2"/>
  <c r="K212" i="2" s="1"/>
  <c r="K211" i="2" s="1"/>
  <c r="K210" i="2" s="1"/>
  <c r="G209" i="2"/>
  <c r="I209" i="2" s="1"/>
  <c r="G205" i="2"/>
  <c r="I205" i="2"/>
  <c r="G200" i="2"/>
  <c r="I200" i="2" s="1"/>
  <c r="G198" i="2"/>
  <c r="I198" i="2"/>
  <c r="K198" i="2" s="1"/>
  <c r="G197" i="2"/>
  <c r="I197" i="2"/>
  <c r="G194" i="2"/>
  <c r="I194" i="2" s="1"/>
  <c r="K194" i="2" s="1"/>
  <c r="K193" i="2" s="1"/>
  <c r="G180" i="2"/>
  <c r="I180" i="2" s="1"/>
  <c r="G181" i="2"/>
  <c r="I181" i="2"/>
  <c r="K181" i="2"/>
  <c r="G182" i="2"/>
  <c r="I182" i="2" s="1"/>
  <c r="K182" i="2" s="1"/>
  <c r="G183" i="2"/>
  <c r="I183" i="2" s="1"/>
  <c r="K183" i="2" s="1"/>
  <c r="G184" i="2"/>
  <c r="I184" i="2"/>
  <c r="K184" i="2"/>
  <c r="G185" i="2"/>
  <c r="I185" i="2"/>
  <c r="K185" i="2"/>
  <c r="G186" i="2"/>
  <c r="I186" i="2" s="1"/>
  <c r="K186" i="2" s="1"/>
  <c r="G187" i="2"/>
  <c r="I187" i="2" s="1"/>
  <c r="K187" i="2" s="1"/>
  <c r="G188" i="2"/>
  <c r="I188" i="2"/>
  <c r="K188" i="2" s="1"/>
  <c r="G189" i="2"/>
  <c r="I189" i="2"/>
  <c r="K189" i="2"/>
  <c r="G190" i="2"/>
  <c r="I190" i="2" s="1"/>
  <c r="K190" i="2" s="1"/>
  <c r="G191" i="2"/>
  <c r="I191" i="2" s="1"/>
  <c r="K191" i="2" s="1"/>
  <c r="G192" i="2"/>
  <c r="I192" i="2"/>
  <c r="K192" i="2" s="1"/>
  <c r="G179" i="2"/>
  <c r="I179" i="2"/>
  <c r="K179" i="2"/>
  <c r="G177" i="2"/>
  <c r="I177" i="2" s="1"/>
  <c r="K177" i="2" s="1"/>
  <c r="K176" i="2" s="1"/>
  <c r="G166" i="2"/>
  <c r="I166" i="2" s="1"/>
  <c r="G167" i="2"/>
  <c r="I167" i="2"/>
  <c r="K167" i="2" s="1"/>
  <c r="G168" i="2"/>
  <c r="I168" i="2"/>
  <c r="K168" i="2"/>
  <c r="G169" i="2"/>
  <c r="I169" i="2" s="1"/>
  <c r="K169" i="2" s="1"/>
  <c r="G170" i="2"/>
  <c r="I170" i="2" s="1"/>
  <c r="K170" i="2" s="1"/>
  <c r="G171" i="2"/>
  <c r="I171" i="2"/>
  <c r="K171" i="2"/>
  <c r="G172" i="2"/>
  <c r="I172" i="2"/>
  <c r="K172" i="2"/>
  <c r="G173" i="2"/>
  <c r="I173" i="2" s="1"/>
  <c r="K173" i="2" s="1"/>
  <c r="G174" i="2"/>
  <c r="I174" i="2" s="1"/>
  <c r="K174" i="2" s="1"/>
  <c r="G175" i="2"/>
  <c r="I175" i="2"/>
  <c r="K175" i="2"/>
  <c r="G165" i="2"/>
  <c r="I165" i="2"/>
  <c r="K165" i="2"/>
  <c r="G161" i="2"/>
  <c r="G158" i="2"/>
  <c r="I158" i="2"/>
  <c r="K158" i="2"/>
  <c r="G157" i="2"/>
  <c r="I157" i="2"/>
  <c r="G155" i="2"/>
  <c r="I155" i="2"/>
  <c r="K155" i="2" s="1"/>
  <c r="K154" i="2"/>
  <c r="K150" i="2" s="1"/>
  <c r="G153" i="2"/>
  <c r="I153" i="2" s="1"/>
  <c r="I151" i="2" s="1"/>
  <c r="G148" i="2"/>
  <c r="I148" i="2"/>
  <c r="K148" i="2" s="1"/>
  <c r="G147" i="2"/>
  <c r="I147" i="2" s="1"/>
  <c r="K147" i="2"/>
  <c r="G144" i="2"/>
  <c r="I144" i="2" s="1"/>
  <c r="K144" i="2" s="1"/>
  <c r="G143" i="2"/>
  <c r="I143" i="2"/>
  <c r="K143" i="2" s="1"/>
  <c r="G140" i="2"/>
  <c r="I140" i="2"/>
  <c r="K140" i="2"/>
  <c r="K139" i="2" s="1"/>
  <c r="G123" i="2"/>
  <c r="I123" i="2"/>
  <c r="G124" i="2"/>
  <c r="G125" i="2"/>
  <c r="I125" i="2" s="1"/>
  <c r="G126" i="2"/>
  <c r="I126" i="2" s="1"/>
  <c r="K126" i="2" s="1"/>
  <c r="G127" i="2"/>
  <c r="I127" i="2"/>
  <c r="K127" i="2" s="1"/>
  <c r="G128" i="2"/>
  <c r="I128" i="2" s="1"/>
  <c r="K128" i="2" s="1"/>
  <c r="G129" i="2"/>
  <c r="I129" i="2" s="1"/>
  <c r="K129" i="2" s="1"/>
  <c r="G131" i="2"/>
  <c r="I131" i="2" s="1"/>
  <c r="K131" i="2" s="1"/>
  <c r="G132" i="2"/>
  <c r="I132" i="2"/>
  <c r="K132" i="2" s="1"/>
  <c r="G133" i="2"/>
  <c r="I133" i="2" s="1"/>
  <c r="K133" i="2" s="1"/>
  <c r="G134" i="2"/>
  <c r="I134" i="2"/>
  <c r="K134" i="2" s="1"/>
  <c r="G135" i="2"/>
  <c r="I135" i="2" s="1"/>
  <c r="K135" i="2" s="1"/>
  <c r="G136" i="2"/>
  <c r="I136" i="2"/>
  <c r="K136" i="2" s="1"/>
  <c r="G137" i="2"/>
  <c r="I137" i="2" s="1"/>
  <c r="K137" i="2" s="1"/>
  <c r="G138" i="2"/>
  <c r="I138" i="2" s="1"/>
  <c r="K138" i="2" s="1"/>
  <c r="G122" i="2"/>
  <c r="I122" i="2" s="1"/>
  <c r="K122" i="2" s="1"/>
  <c r="K121" i="2" s="1"/>
  <c r="K112" i="2" s="1"/>
  <c r="G120" i="2"/>
  <c r="I120" i="2"/>
  <c r="K120" i="2"/>
  <c r="K119" i="2" s="1"/>
  <c r="G115" i="2"/>
  <c r="I115" i="2"/>
  <c r="K115" i="2" s="1"/>
  <c r="G116" i="2"/>
  <c r="I116" i="2" s="1"/>
  <c r="K116" i="2" s="1"/>
  <c r="G117" i="2"/>
  <c r="I117" i="2"/>
  <c r="K117" i="2" s="1"/>
  <c r="G118" i="2"/>
  <c r="I118" i="2" s="1"/>
  <c r="K118" i="2" s="1"/>
  <c r="G114" i="2"/>
  <c r="I114" i="2"/>
  <c r="K114" i="2" s="1"/>
  <c r="K113" i="2" s="1"/>
  <c r="G111" i="2"/>
  <c r="I111" i="2"/>
  <c r="G108" i="2"/>
  <c r="I108" i="2"/>
  <c r="K108" i="2" s="1"/>
  <c r="K107" i="2" s="1"/>
  <c r="G104" i="2"/>
  <c r="I104" i="2" s="1"/>
  <c r="K104" i="2"/>
  <c r="G105" i="2"/>
  <c r="I105" i="2" s="1"/>
  <c r="K105" i="2" s="1"/>
  <c r="G106" i="2"/>
  <c r="I106" i="2"/>
  <c r="K106" i="2"/>
  <c r="G103" i="2"/>
  <c r="I103" i="2"/>
  <c r="G95" i="2"/>
  <c r="I95" i="2"/>
  <c r="K95" i="2" s="1"/>
  <c r="G96" i="2"/>
  <c r="I96" i="2" s="1"/>
  <c r="K96" i="2" s="1"/>
  <c r="G97" i="2"/>
  <c r="I97" i="2"/>
  <c r="K97" i="2" s="1"/>
  <c r="G94" i="2"/>
  <c r="I94" i="2" s="1"/>
  <c r="G91" i="2"/>
  <c r="I91" i="2" s="1"/>
  <c r="K91" i="2" s="1"/>
  <c r="K90" i="2" s="1"/>
  <c r="G89" i="2"/>
  <c r="G88" i="2" s="1"/>
  <c r="I89" i="2"/>
  <c r="G79" i="2"/>
  <c r="G80" i="2"/>
  <c r="I80" i="2"/>
  <c r="K80" i="2"/>
  <c r="G81" i="2"/>
  <c r="I81" i="2" s="1"/>
  <c r="K81" i="2" s="1"/>
  <c r="G82" i="2"/>
  <c r="I82" i="2" s="1"/>
  <c r="K82" i="2" s="1"/>
  <c r="G83" i="2"/>
  <c r="I83" i="2" s="1"/>
  <c r="K83" i="2" s="1"/>
  <c r="G84" i="2"/>
  <c r="I84" i="2"/>
  <c r="K84" i="2" s="1"/>
  <c r="G85" i="2"/>
  <c r="I85" i="2" s="1"/>
  <c r="K85" i="2" s="1"/>
  <c r="G86" i="2"/>
  <c r="I86" i="2" s="1"/>
  <c r="K86" i="2" s="1"/>
  <c r="G78" i="2"/>
  <c r="I78" i="2"/>
  <c r="K78" i="2" s="1"/>
  <c r="G73" i="2"/>
  <c r="I73" i="2"/>
  <c r="G74" i="2"/>
  <c r="I74" i="2" s="1"/>
  <c r="K74" i="2" s="1"/>
  <c r="G75" i="2"/>
  <c r="I75" i="2"/>
  <c r="K75" i="2" s="1"/>
  <c r="G76" i="2"/>
  <c r="I76" i="2"/>
  <c r="K76" i="2"/>
  <c r="G72" i="2"/>
  <c r="I72" i="2" s="1"/>
  <c r="K72" i="2" s="1"/>
  <c r="G67" i="2"/>
  <c r="I67" i="2"/>
  <c r="K67" i="2" s="1"/>
  <c r="G68" i="2"/>
  <c r="G66" i="2"/>
  <c r="I66" i="2"/>
  <c r="K66" i="2" s="1"/>
  <c r="G53" i="2"/>
  <c r="I53" i="2" s="1"/>
  <c r="K53" i="2"/>
  <c r="K52" i="2" s="1"/>
  <c r="K51" i="2" s="1"/>
  <c r="K50" i="2" s="1"/>
  <c r="G43" i="2"/>
  <c r="I43" i="2"/>
  <c r="G44" i="2"/>
  <c r="G41" i="2" s="1"/>
  <c r="G40" i="2" s="1"/>
  <c r="G45" i="2"/>
  <c r="I45" i="2"/>
  <c r="K45" i="2"/>
  <c r="G46" i="2"/>
  <c r="I46" i="2" s="1"/>
  <c r="K46" i="2" s="1"/>
  <c r="G47" i="2"/>
  <c r="I47" i="2"/>
  <c r="K47" i="2" s="1"/>
  <c r="G48" i="2"/>
  <c r="I48" i="2" s="1"/>
  <c r="K48" i="2" s="1"/>
  <c r="G49" i="2"/>
  <c r="I49" i="2"/>
  <c r="K49" i="2" s="1"/>
  <c r="G42" i="2"/>
  <c r="I42" i="2" s="1"/>
  <c r="K42" i="2"/>
  <c r="G39" i="2"/>
  <c r="G37" i="2"/>
  <c r="I37" i="2"/>
  <c r="G35" i="2"/>
  <c r="G30" i="2"/>
  <c r="I30" i="2" s="1"/>
  <c r="K30" i="2" s="1"/>
  <c r="G31" i="2"/>
  <c r="I31" i="2" s="1"/>
  <c r="K31" i="2" s="1"/>
  <c r="G32" i="2"/>
  <c r="I32" i="2"/>
  <c r="K32" i="2" s="1"/>
  <c r="G33" i="2"/>
  <c r="I33" i="2"/>
  <c r="K33" i="2"/>
  <c r="G29" i="2"/>
  <c r="I29" i="2" s="1"/>
  <c r="K29" i="2" s="1"/>
  <c r="G25" i="2"/>
  <c r="I25" i="2" s="1"/>
  <c r="K25" i="2" s="1"/>
  <c r="K24" i="2" s="1"/>
  <c r="K21" i="2" s="1"/>
  <c r="K14" i="2" s="1"/>
  <c r="G23" i="2"/>
  <c r="I23" i="2"/>
  <c r="K23" i="2"/>
  <c r="K22" i="2" s="1"/>
  <c r="G20" i="2"/>
  <c r="I20" i="2"/>
  <c r="K20" i="2"/>
  <c r="K19" i="2" s="1"/>
  <c r="K18" i="2" s="1"/>
  <c r="G17" i="2"/>
  <c r="I17" i="2" s="1"/>
  <c r="G13" i="2"/>
  <c r="G821" i="2"/>
  <c r="G820" i="2"/>
  <c r="G812" i="2"/>
  <c r="G809" i="2"/>
  <c r="G806" i="2"/>
  <c r="G804" i="2"/>
  <c r="G793" i="2"/>
  <c r="G775" i="2"/>
  <c r="G773" i="2"/>
  <c r="G768" i="2"/>
  <c r="G767" i="2"/>
  <c r="G711" i="2"/>
  <c r="G709" i="2"/>
  <c r="G703" i="2"/>
  <c r="G686" i="2"/>
  <c r="G675" i="2"/>
  <c r="G674" i="2" s="1"/>
  <c r="G643" i="2"/>
  <c r="G627" i="2"/>
  <c r="G612" i="2"/>
  <c r="G602" i="2"/>
  <c r="G595" i="2"/>
  <c r="G593" i="2"/>
  <c r="G592" i="2"/>
  <c r="G529" i="2"/>
  <c r="G527" i="2"/>
  <c r="G522" i="2"/>
  <c r="G497" i="2"/>
  <c r="G451" i="2"/>
  <c r="G440" i="2"/>
  <c r="G439" i="2" s="1"/>
  <c r="G433" i="2"/>
  <c r="G432" i="2" s="1"/>
  <c r="G430" i="2"/>
  <c r="G428" i="2"/>
  <c r="G426" i="2"/>
  <c r="G423" i="2"/>
  <c r="G421" i="2"/>
  <c r="G420" i="2" s="1"/>
  <c r="G418" i="2"/>
  <c r="G369" i="2"/>
  <c r="G368" i="2" s="1"/>
  <c r="G351" i="2"/>
  <c r="G349" i="2"/>
  <c r="G344" i="2"/>
  <c r="G343" i="2" s="1"/>
  <c r="G306" i="2"/>
  <c r="G271" i="2"/>
  <c r="G269" i="2"/>
  <c r="G244" i="2"/>
  <c r="G221" i="2"/>
  <c r="G211" i="2"/>
  <c r="G210" i="2" s="1"/>
  <c r="G208" i="2"/>
  <c r="G207" i="2"/>
  <c r="G206" i="2" s="1"/>
  <c r="G204" i="2"/>
  <c r="G203" i="2" s="1"/>
  <c r="G202" i="2" s="1"/>
  <c r="G199" i="2"/>
  <c r="G196" i="2"/>
  <c r="G193" i="2"/>
  <c r="G176" i="2"/>
  <c r="G156" i="2"/>
  <c r="G154" i="2"/>
  <c r="G151" i="2"/>
  <c r="G150" i="2"/>
  <c r="G139" i="2"/>
  <c r="G119" i="2"/>
  <c r="G107" i="2"/>
  <c r="G90" i="2"/>
  <c r="G52" i="2"/>
  <c r="G51" i="2"/>
  <c r="G50" i="2" s="1"/>
  <c r="G22" i="2"/>
  <c r="G16" i="2"/>
  <c r="G15" i="2" s="1"/>
  <c r="F821" i="2"/>
  <c r="F820" i="2" s="1"/>
  <c r="F818" i="2"/>
  <c r="F815" i="2"/>
  <c r="F812" i="2"/>
  <c r="F809" i="2" s="1"/>
  <c r="F806" i="2"/>
  <c r="F804" i="2"/>
  <c r="F800" i="2" s="1"/>
  <c r="F801" i="2"/>
  <c r="F798" i="2"/>
  <c r="F797" i="2" s="1"/>
  <c r="F795" i="2"/>
  <c r="F793" i="2"/>
  <c r="F792" i="2" s="1"/>
  <c r="F791" i="2" s="1"/>
  <c r="F790" i="2"/>
  <c r="F786" i="2"/>
  <c r="F775" i="2"/>
  <c r="F773" i="2"/>
  <c r="F768" i="2"/>
  <c r="F767" i="2" s="1"/>
  <c r="F763" i="2"/>
  <c r="F762" i="2"/>
  <c r="F753" i="2"/>
  <c r="F751" i="2"/>
  <c r="F745" i="2"/>
  <c r="F732" i="2"/>
  <c r="F730" i="2"/>
  <c r="F724" i="2"/>
  <c r="F711" i="2"/>
  <c r="F709" i="2"/>
  <c r="F703" i="2"/>
  <c r="F690" i="2"/>
  <c r="F688" i="2"/>
  <c r="F686" i="2"/>
  <c r="F680" i="2"/>
  <c r="F675" i="2"/>
  <c r="F674" i="2"/>
  <c r="F672" i="2"/>
  <c r="F665" i="2"/>
  <c r="F643" i="2"/>
  <c r="F629" i="2"/>
  <c r="F627" i="2"/>
  <c r="F622" i="2"/>
  <c r="F612" i="2"/>
  <c r="F606" i="2"/>
  <c r="F602" i="2"/>
  <c r="F599" i="2" s="1"/>
  <c r="F600" i="2"/>
  <c r="F595" i="2"/>
  <c r="F593" i="2"/>
  <c r="F559" i="2"/>
  <c r="F545" i="2"/>
  <c r="F539" i="2"/>
  <c r="F532" i="2"/>
  <c r="F531" i="2" s="1"/>
  <c r="F529" i="2"/>
  <c r="F527" i="2"/>
  <c r="F516" i="2" s="1"/>
  <c r="F525" i="2"/>
  <c r="F522" i="2"/>
  <c r="F517" i="2"/>
  <c r="F506" i="2"/>
  <c r="F499" i="2" s="1"/>
  <c r="F500" i="2"/>
  <c r="F497" i="2"/>
  <c r="F479" i="2"/>
  <c r="F477" i="2"/>
  <c r="F470" i="2"/>
  <c r="F456" i="2"/>
  <c r="F453" i="2"/>
  <c r="F451" i="2"/>
  <c r="F445" i="2"/>
  <c r="F440" i="2"/>
  <c r="F439" i="2"/>
  <c r="F437" i="2"/>
  <c r="F436" i="2" s="1"/>
  <c r="F433" i="2"/>
  <c r="F432" i="2"/>
  <c r="F430" i="2"/>
  <c r="F428" i="2"/>
  <c r="F426" i="2"/>
  <c r="F423" i="2"/>
  <c r="F421" i="2"/>
  <c r="F420" i="2" s="1"/>
  <c r="F418" i="2"/>
  <c r="F410" i="2"/>
  <c r="F408" i="2"/>
  <c r="F380" i="2"/>
  <c r="F375" i="2"/>
  <c r="F369" i="2"/>
  <c r="F368" i="2" s="1"/>
  <c r="F361" i="2"/>
  <c r="F355" i="2"/>
  <c r="F351" i="2"/>
  <c r="F349" i="2"/>
  <c r="F344" i="2"/>
  <c r="F324" i="2"/>
  <c r="F310" i="2"/>
  <c r="F308" i="2"/>
  <c r="F306" i="2"/>
  <c r="F300" i="2"/>
  <c r="F284" i="2"/>
  <c r="F282" i="2"/>
  <c r="F280" i="2"/>
  <c r="F274" i="2"/>
  <c r="F271" i="2"/>
  <c r="F269" i="2"/>
  <c r="F264" i="2"/>
  <c r="F263" i="2" s="1"/>
  <c r="F261" i="2"/>
  <c r="F259" i="2"/>
  <c r="F254" i="2"/>
  <c r="F246" i="2"/>
  <c r="F244" i="2"/>
  <c r="F242" i="2"/>
  <c r="F237" i="2"/>
  <c r="F223" i="2"/>
  <c r="F221" i="2"/>
  <c r="F215" i="2"/>
  <c r="F211" i="2"/>
  <c r="F210" i="2"/>
  <c r="F208" i="2"/>
  <c r="F207" i="2" s="1"/>
  <c r="F204" i="2"/>
  <c r="F203" i="2"/>
  <c r="F202" i="2"/>
  <c r="F199" i="2"/>
  <c r="F196" i="2"/>
  <c r="F193" i="2"/>
  <c r="F178" i="2"/>
  <c r="F163" i="2" s="1"/>
  <c r="F176" i="2"/>
  <c r="F164" i="2"/>
  <c r="F160" i="2"/>
  <c r="F159" i="2" s="1"/>
  <c r="F156" i="2"/>
  <c r="F154" i="2"/>
  <c r="F151" i="2"/>
  <c r="F146" i="2"/>
  <c r="F142" i="2"/>
  <c r="F139" i="2"/>
  <c r="F121" i="2"/>
  <c r="F119" i="2"/>
  <c r="F113" i="2"/>
  <c r="F110" i="2"/>
  <c r="F109" i="2" s="1"/>
  <c r="F107" i="2"/>
  <c r="F102" i="2"/>
  <c r="F93" i="2"/>
  <c r="F90" i="2"/>
  <c r="F88" i="2"/>
  <c r="F77" i="2"/>
  <c r="F71" i="2"/>
  <c r="F65" i="2"/>
  <c r="F56" i="2"/>
  <c r="F52" i="2"/>
  <c r="F51" i="2"/>
  <c r="F50" i="2" s="1"/>
  <c r="F41" i="2"/>
  <c r="F40" i="2" s="1"/>
  <c r="F36" i="2"/>
  <c r="F27" i="2" s="1"/>
  <c r="F34" i="2"/>
  <c r="F28" i="2"/>
  <c r="F24" i="2"/>
  <c r="F22" i="2"/>
  <c r="F19" i="2"/>
  <c r="F18" i="2" s="1"/>
  <c r="F16" i="2"/>
  <c r="F15" i="2"/>
  <c r="F12" i="2"/>
  <c r="F11" i="2" s="1"/>
  <c r="F10" i="2" s="1"/>
  <c r="E821" i="2"/>
  <c r="E820" i="2" s="1"/>
  <c r="E814" i="2" s="1"/>
  <c r="E808" i="2" s="1"/>
  <c r="E743" i="2"/>
  <c r="G743" i="2" s="1"/>
  <c r="I743" i="2"/>
  <c r="K743" i="2" s="1"/>
  <c r="E737" i="2"/>
  <c r="G737" i="2" s="1"/>
  <c r="I737" i="2"/>
  <c r="K737" i="2" s="1"/>
  <c r="K732" i="2" s="1"/>
  <c r="E223" i="2"/>
  <c r="E775" i="2"/>
  <c r="E786" i="2"/>
  <c r="E772" i="2" s="1"/>
  <c r="E771" i="2" s="1"/>
  <c r="E790" i="2"/>
  <c r="E752" i="2"/>
  <c r="G752" i="2" s="1"/>
  <c r="E760" i="2"/>
  <c r="G760" i="2"/>
  <c r="I760" i="2" s="1"/>
  <c r="K760" i="2" s="1"/>
  <c r="E757" i="2"/>
  <c r="G757" i="2" s="1"/>
  <c r="E754" i="2"/>
  <c r="G754" i="2" s="1"/>
  <c r="I754" i="2"/>
  <c r="E749" i="2"/>
  <c r="G749" i="2" s="1"/>
  <c r="I749" i="2" s="1"/>
  <c r="K749" i="2" s="1"/>
  <c r="E748" i="2"/>
  <c r="G748" i="2" s="1"/>
  <c r="I748" i="2" s="1"/>
  <c r="K748" i="2"/>
  <c r="E747" i="2"/>
  <c r="E746" i="2"/>
  <c r="G746" i="2"/>
  <c r="E758" i="2"/>
  <c r="G758" i="2" s="1"/>
  <c r="I758" i="2" s="1"/>
  <c r="K758" i="2"/>
  <c r="E756" i="2"/>
  <c r="G756" i="2" s="1"/>
  <c r="I756" i="2" s="1"/>
  <c r="E755" i="2"/>
  <c r="G755" i="2"/>
  <c r="I755" i="2" s="1"/>
  <c r="K755" i="2" s="1"/>
  <c r="E750" i="2"/>
  <c r="G750" i="2" s="1"/>
  <c r="I750" i="2" s="1"/>
  <c r="K750" i="2" s="1"/>
  <c r="E742" i="2"/>
  <c r="G742" i="2"/>
  <c r="I742" i="2" s="1"/>
  <c r="K742" i="2" s="1"/>
  <c r="E738" i="2"/>
  <c r="G738" i="2" s="1"/>
  <c r="I738" i="2" s="1"/>
  <c r="K738" i="2" s="1"/>
  <c r="E736" i="2"/>
  <c r="G736" i="2"/>
  <c r="I736" i="2" s="1"/>
  <c r="K736" i="2" s="1"/>
  <c r="E735" i="2"/>
  <c r="G735" i="2" s="1"/>
  <c r="I735" i="2" s="1"/>
  <c r="E734" i="2"/>
  <c r="G734" i="2"/>
  <c r="I734" i="2" s="1"/>
  <c r="K734" i="2" s="1"/>
  <c r="E733" i="2"/>
  <c r="G733" i="2"/>
  <c r="I733" i="2"/>
  <c r="K733" i="2" s="1"/>
  <c r="E731" i="2"/>
  <c r="G731" i="2"/>
  <c r="E729" i="2"/>
  <c r="G729" i="2" s="1"/>
  <c r="I729" i="2" s="1"/>
  <c r="K729" i="2"/>
  <c r="E728" i="2"/>
  <c r="E727" i="2"/>
  <c r="G727" i="2" s="1"/>
  <c r="I727" i="2" s="1"/>
  <c r="K727" i="2" s="1"/>
  <c r="E726" i="2"/>
  <c r="G726" i="2"/>
  <c r="I726" i="2" s="1"/>
  <c r="K726" i="2" s="1"/>
  <c r="E725" i="2"/>
  <c r="G725" i="2" s="1"/>
  <c r="E671" i="2"/>
  <c r="E661" i="2"/>
  <c r="E646" i="2"/>
  <c r="E595" i="2"/>
  <c r="E559" i="2"/>
  <c r="E497" i="2"/>
  <c r="E478" i="2"/>
  <c r="G478" i="2" s="1"/>
  <c r="E496" i="2"/>
  <c r="G496" i="2"/>
  <c r="I496" i="2" s="1"/>
  <c r="K496" i="2" s="1"/>
  <c r="E492" i="2"/>
  <c r="G492" i="2"/>
  <c r="I492" i="2" s="1"/>
  <c r="K492" i="2" s="1"/>
  <c r="E491" i="2"/>
  <c r="G491" i="2"/>
  <c r="I491" i="2"/>
  <c r="K491" i="2" s="1"/>
  <c r="E490" i="2"/>
  <c r="G490" i="2"/>
  <c r="I490" i="2" s="1"/>
  <c r="E489" i="2"/>
  <c r="G489" i="2" s="1"/>
  <c r="I489" i="2"/>
  <c r="K489" i="2" s="1"/>
  <c r="E487" i="2"/>
  <c r="G487" i="2" s="1"/>
  <c r="I487" i="2"/>
  <c r="K487" i="2"/>
  <c r="E486" i="2"/>
  <c r="G486" i="2" s="1"/>
  <c r="I486" i="2" s="1"/>
  <c r="K486" i="2" s="1"/>
  <c r="E485" i="2"/>
  <c r="G485" i="2" s="1"/>
  <c r="I485" i="2" s="1"/>
  <c r="K485" i="2" s="1"/>
  <c r="E484" i="2"/>
  <c r="G484" i="2" s="1"/>
  <c r="I484" i="2"/>
  <c r="K484" i="2" s="1"/>
  <c r="E483" i="2"/>
  <c r="G483" i="2" s="1"/>
  <c r="I483" i="2"/>
  <c r="K483" i="2"/>
  <c r="E482" i="2"/>
  <c r="G482" i="2" s="1"/>
  <c r="I482" i="2" s="1"/>
  <c r="E481" i="2"/>
  <c r="G481" i="2" s="1"/>
  <c r="E480" i="2"/>
  <c r="G480" i="2" s="1"/>
  <c r="E474" i="2"/>
  <c r="G474" i="2"/>
  <c r="I474" i="2" s="1"/>
  <c r="K474" i="2" s="1"/>
  <c r="E473" i="2"/>
  <c r="G473" i="2"/>
  <c r="I473" i="2"/>
  <c r="K473" i="2" s="1"/>
  <c r="E472" i="2"/>
  <c r="G472" i="2"/>
  <c r="I472" i="2" s="1"/>
  <c r="E471" i="2"/>
  <c r="G471" i="2" s="1"/>
  <c r="E494" i="2"/>
  <c r="G494" i="2" s="1"/>
  <c r="I494" i="2" s="1"/>
  <c r="K494" i="2" s="1"/>
  <c r="E493" i="2"/>
  <c r="G493" i="2"/>
  <c r="I493" i="2" s="1"/>
  <c r="K493" i="2" s="1"/>
  <c r="E488" i="2"/>
  <c r="G488" i="2" s="1"/>
  <c r="I488" i="2" s="1"/>
  <c r="K488" i="2" s="1"/>
  <c r="E476" i="2"/>
  <c r="G476" i="2"/>
  <c r="I476" i="2" s="1"/>
  <c r="K476" i="2" s="1"/>
  <c r="E475" i="2"/>
  <c r="G475" i="2" s="1"/>
  <c r="I475" i="2" s="1"/>
  <c r="K475" i="2" s="1"/>
  <c r="E455" i="2"/>
  <c r="G455" i="2"/>
  <c r="I455" i="2" s="1"/>
  <c r="E445" i="2"/>
  <c r="E438" i="2"/>
  <c r="G438" i="2"/>
  <c r="G437" i="2"/>
  <c r="G436" i="2" s="1"/>
  <c r="E437" i="2"/>
  <c r="E436" i="2"/>
  <c r="E433" i="2"/>
  <c r="E432" i="2" s="1"/>
  <c r="E426" i="2"/>
  <c r="E423" i="2"/>
  <c r="E415" i="2"/>
  <c r="G415" i="2" s="1"/>
  <c r="I415" i="2" s="1"/>
  <c r="K415" i="2" s="1"/>
  <c r="E414" i="2"/>
  <c r="G414" i="2" s="1"/>
  <c r="I414" i="2" s="1"/>
  <c r="E412" i="2"/>
  <c r="E411" i="2"/>
  <c r="G411" i="2"/>
  <c r="E409" i="2"/>
  <c r="G409" i="2" s="1"/>
  <c r="I409" i="2" s="1"/>
  <c r="E309" i="2"/>
  <c r="G309" i="2" s="1"/>
  <c r="I309" i="2" s="1"/>
  <c r="E316" i="2"/>
  <c r="G316" i="2" s="1"/>
  <c r="I316" i="2"/>
  <c r="K316" i="2" s="1"/>
  <c r="E312" i="2"/>
  <c r="G312" i="2" s="1"/>
  <c r="I312" i="2"/>
  <c r="K312" i="2" s="1"/>
  <c r="E311" i="2"/>
  <c r="G311" i="2" s="1"/>
  <c r="E305" i="2"/>
  <c r="G305" i="2"/>
  <c r="I305" i="2" s="1"/>
  <c r="K305" i="2" s="1"/>
  <c r="E304" i="2"/>
  <c r="G304" i="2" s="1"/>
  <c r="I304" i="2" s="1"/>
  <c r="K304" i="2" s="1"/>
  <c r="E303" i="2"/>
  <c r="G303" i="2"/>
  <c r="E302" i="2"/>
  <c r="G302" i="2" s="1"/>
  <c r="I302" i="2" s="1"/>
  <c r="K302" i="2" s="1"/>
  <c r="E301" i="2"/>
  <c r="G301" i="2" s="1"/>
  <c r="E342" i="2"/>
  <c r="G342" i="2" s="1"/>
  <c r="I342" i="2" s="1"/>
  <c r="K342" i="2" s="1"/>
  <c r="E341" i="2"/>
  <c r="G341" i="2"/>
  <c r="I341" i="2" s="1"/>
  <c r="K341" i="2" s="1"/>
  <c r="E338" i="2"/>
  <c r="G338" i="2" s="1"/>
  <c r="I338" i="2" s="1"/>
  <c r="K338" i="2" s="1"/>
  <c r="E340" i="2"/>
  <c r="G340" i="2"/>
  <c r="I340" i="2" s="1"/>
  <c r="K340" i="2" s="1"/>
  <c r="E339" i="2"/>
  <c r="G339" i="2" s="1"/>
  <c r="I339" i="2" s="1"/>
  <c r="K339" i="2" s="1"/>
  <c r="E337" i="2"/>
  <c r="G337" i="2"/>
  <c r="I337" i="2" s="1"/>
  <c r="K337" i="2" s="1"/>
  <c r="E336" i="2"/>
  <c r="G336" i="2" s="1"/>
  <c r="I336" i="2" s="1"/>
  <c r="K336" i="2" s="1"/>
  <c r="E334" i="2"/>
  <c r="G334" i="2"/>
  <c r="I334" i="2" s="1"/>
  <c r="K334" i="2" s="1"/>
  <c r="E335" i="2"/>
  <c r="G335" i="2" s="1"/>
  <c r="I335" i="2" s="1"/>
  <c r="K335" i="2" s="1"/>
  <c r="E332" i="2"/>
  <c r="G332" i="2"/>
  <c r="I332" i="2" s="1"/>
  <c r="K332" i="2" s="1"/>
  <c r="E331" i="2"/>
  <c r="G331" i="2" s="1"/>
  <c r="I331" i="2" s="1"/>
  <c r="K331" i="2" s="1"/>
  <c r="E329" i="2"/>
  <c r="G329" i="2"/>
  <c r="I329" i="2" s="1"/>
  <c r="K329" i="2" s="1"/>
  <c r="E328" i="2"/>
  <c r="E326" i="2"/>
  <c r="G326" i="2"/>
  <c r="I326" i="2" s="1"/>
  <c r="E325" i="2"/>
  <c r="G325" i="2"/>
  <c r="I325" i="2" s="1"/>
  <c r="K325" i="2" s="1"/>
  <c r="E320" i="2"/>
  <c r="G320" i="2"/>
  <c r="I320" i="2" s="1"/>
  <c r="K320" i="2" s="1"/>
  <c r="E314" i="2"/>
  <c r="G314" i="2"/>
  <c r="I314" i="2" s="1"/>
  <c r="K314" i="2" s="1"/>
  <c r="E313" i="2"/>
  <c r="G313" i="2"/>
  <c r="I313" i="2"/>
  <c r="E323" i="2"/>
  <c r="G323" i="2" s="1"/>
  <c r="I323" i="2" s="1"/>
  <c r="K323" i="2" s="1"/>
  <c r="E322" i="2"/>
  <c r="G322" i="2" s="1"/>
  <c r="I322" i="2"/>
  <c r="K322" i="2" s="1"/>
  <c r="E321" i="2"/>
  <c r="G321" i="2" s="1"/>
  <c r="I321" i="2"/>
  <c r="K321" i="2"/>
  <c r="E319" i="2"/>
  <c r="G319" i="2" s="1"/>
  <c r="I319" i="2" s="1"/>
  <c r="K319" i="2" s="1"/>
  <c r="E318" i="2"/>
  <c r="G318" i="2" s="1"/>
  <c r="I318" i="2" s="1"/>
  <c r="K318" i="2" s="1"/>
  <c r="E317" i="2"/>
  <c r="G317" i="2" s="1"/>
  <c r="I317" i="2"/>
  <c r="K317" i="2" s="1"/>
  <c r="E315" i="2"/>
  <c r="G315" i="2" s="1"/>
  <c r="I315" i="2"/>
  <c r="K315" i="2"/>
  <c r="E333" i="2"/>
  <c r="G333" i="2" s="1"/>
  <c r="I333" i="2" s="1"/>
  <c r="K333" i="2" s="1"/>
  <c r="E330" i="2"/>
  <c r="G330" i="2" s="1"/>
  <c r="I330" i="2" s="1"/>
  <c r="K330" i="2" s="1"/>
  <c r="E327" i="2"/>
  <c r="G327" i="2" s="1"/>
  <c r="E283" i="2"/>
  <c r="G283" i="2" s="1"/>
  <c r="E296" i="2"/>
  <c r="G296" i="2" s="1"/>
  <c r="I296" i="2"/>
  <c r="K296" i="2"/>
  <c r="E294" i="2"/>
  <c r="G294" i="2" s="1"/>
  <c r="I294" i="2" s="1"/>
  <c r="K294" i="2" s="1"/>
  <c r="E293" i="2"/>
  <c r="G293" i="2" s="1"/>
  <c r="I293" i="2" s="1"/>
  <c r="K293" i="2" s="1"/>
  <c r="E292" i="2"/>
  <c r="G292" i="2" s="1"/>
  <c r="I292" i="2"/>
  <c r="K292" i="2" s="1"/>
  <c r="E291" i="2"/>
  <c r="G291" i="2" s="1"/>
  <c r="I291" i="2"/>
  <c r="K291" i="2"/>
  <c r="E290" i="2"/>
  <c r="G290" i="2" s="1"/>
  <c r="I290" i="2" s="1"/>
  <c r="K290" i="2" s="1"/>
  <c r="K284" i="2" s="1"/>
  <c r="E289" i="2"/>
  <c r="G289" i="2" s="1"/>
  <c r="I289" i="2" s="1"/>
  <c r="K289" i="2" s="1"/>
  <c r="E286" i="2"/>
  <c r="G286" i="2" s="1"/>
  <c r="I286" i="2" s="1"/>
  <c r="K286" i="2" s="1"/>
  <c r="E285" i="2"/>
  <c r="G285" i="2" s="1"/>
  <c r="I285" i="2" s="1"/>
  <c r="K285" i="2"/>
  <c r="E279" i="2"/>
  <c r="G279" i="2" s="1"/>
  <c r="I279" i="2" s="1"/>
  <c r="K279" i="2" s="1"/>
  <c r="E278" i="2"/>
  <c r="G278" i="2" s="1"/>
  <c r="I278" i="2" s="1"/>
  <c r="K278" i="2"/>
  <c r="E277" i="2"/>
  <c r="G277" i="2" s="1"/>
  <c r="I277" i="2" s="1"/>
  <c r="K277" i="2" s="1"/>
  <c r="K274" i="2" s="1"/>
  <c r="E276" i="2"/>
  <c r="G276" i="2" s="1"/>
  <c r="I276" i="2" s="1"/>
  <c r="K276" i="2"/>
  <c r="E275" i="2"/>
  <c r="G275" i="2" s="1"/>
  <c r="E288" i="2"/>
  <c r="G288" i="2"/>
  <c r="I288" i="2"/>
  <c r="K288" i="2" s="1"/>
  <c r="E287" i="2"/>
  <c r="G287" i="2"/>
  <c r="E295" i="2"/>
  <c r="G295" i="2" s="1"/>
  <c r="I295" i="2" s="1"/>
  <c r="K295" i="2"/>
  <c r="E258" i="2"/>
  <c r="G258" i="2" s="1"/>
  <c r="I258" i="2" s="1"/>
  <c r="K258" i="2" s="1"/>
  <c r="E257" i="2"/>
  <c r="G257" i="2" s="1"/>
  <c r="I257" i="2" s="1"/>
  <c r="K257" i="2" s="1"/>
  <c r="K254" i="2" s="1"/>
  <c r="K253" i="2" s="1"/>
  <c r="E256" i="2"/>
  <c r="G256" i="2" s="1"/>
  <c r="E255" i="2"/>
  <c r="G255" i="2"/>
  <c r="I255" i="2" s="1"/>
  <c r="E260" i="2"/>
  <c r="G260" i="2" s="1"/>
  <c r="E262" i="2"/>
  <c r="G262" i="2"/>
  <c r="E246" i="2"/>
  <c r="E178" i="2"/>
  <c r="E145" i="2"/>
  <c r="G145" i="2"/>
  <c r="I145" i="2" s="1"/>
  <c r="E149" i="2"/>
  <c r="G149" i="2" s="1"/>
  <c r="E93" i="2"/>
  <c r="E92" i="2" s="1"/>
  <c r="E64" i="2"/>
  <c r="G64" i="2" s="1"/>
  <c r="I64" i="2"/>
  <c r="K64" i="2" s="1"/>
  <c r="E63" i="2"/>
  <c r="G63" i="2" s="1"/>
  <c r="I63" i="2"/>
  <c r="K63" i="2"/>
  <c r="E62" i="2"/>
  <c r="G62" i="2" s="1"/>
  <c r="I62" i="2" s="1"/>
  <c r="K62" i="2" s="1"/>
  <c r="E60" i="2"/>
  <c r="G60" i="2" s="1"/>
  <c r="I60" i="2" s="1"/>
  <c r="K60" i="2" s="1"/>
  <c r="E59" i="2"/>
  <c r="G59" i="2" s="1"/>
  <c r="I59" i="2" s="1"/>
  <c r="K59" i="2" s="1"/>
  <c r="E58" i="2"/>
  <c r="G58" i="2" s="1"/>
  <c r="I58" i="2"/>
  <c r="E61" i="2"/>
  <c r="E57" i="2"/>
  <c r="G57" i="2" s="1"/>
  <c r="E65" i="2"/>
  <c r="E36" i="2"/>
  <c r="E763" i="2"/>
  <c r="E762" i="2" s="1"/>
  <c r="E369" i="2"/>
  <c r="E368" i="2"/>
  <c r="E806" i="2"/>
  <c r="E804" i="2"/>
  <c r="E818" i="2"/>
  <c r="E196" i="2"/>
  <c r="E160" i="2"/>
  <c r="E159" i="2" s="1"/>
  <c r="E798" i="2"/>
  <c r="E797" i="2"/>
  <c r="E795" i="2"/>
  <c r="E768" i="2"/>
  <c r="E767" i="2" s="1"/>
  <c r="E686" i="2"/>
  <c r="E430" i="2"/>
  <c r="E421" i="2"/>
  <c r="E420" i="2" s="1"/>
  <c r="E199" i="2"/>
  <c r="E154" i="2"/>
  <c r="E107" i="2"/>
  <c r="E102" i="2"/>
  <c r="E77" i="2"/>
  <c r="E71" i="2"/>
  <c r="E41" i="2"/>
  <c r="E40" i="2"/>
  <c r="E28" i="2"/>
  <c r="E34" i="2"/>
  <c r="E24" i="2"/>
  <c r="E506" i="2"/>
  <c r="E500" i="2"/>
  <c r="E622" i="2"/>
  <c r="E627" i="2"/>
  <c r="E629" i="2"/>
  <c r="E643" i="2"/>
  <c r="E522" i="2"/>
  <c r="E527" i="2"/>
  <c r="E451" i="2"/>
  <c r="E456" i="2"/>
  <c r="E306" i="2"/>
  <c r="E280" i="2"/>
  <c r="E675" i="2"/>
  <c r="E674" i="2" s="1"/>
  <c r="E380" i="2"/>
  <c r="E375" i="2"/>
  <c r="E374" i="2"/>
  <c r="E351" i="2"/>
  <c r="E349" i="2"/>
  <c r="E344" i="2"/>
  <c r="E264" i="2"/>
  <c r="E263" i="2" s="1"/>
  <c r="E271" i="2"/>
  <c r="E269" i="2"/>
  <c r="E244" i="2"/>
  <c r="E242" i="2"/>
  <c r="E237" i="2"/>
  <c r="E221" i="2"/>
  <c r="E215" i="2"/>
  <c r="E690" i="2"/>
  <c r="E688" i="2"/>
  <c r="E680" i="2"/>
  <c r="E193" i="2"/>
  <c r="E176" i="2"/>
  <c r="E164" i="2"/>
  <c r="T200" i="1"/>
  <c r="U201" i="1"/>
  <c r="T171" i="1"/>
  <c r="U175" i="1"/>
  <c r="U176" i="1"/>
  <c r="U152" i="1"/>
  <c r="T151" i="1"/>
  <c r="T138" i="1"/>
  <c r="U143" i="1"/>
  <c r="U34" i="1"/>
  <c r="T24" i="1"/>
  <c r="T232" i="1"/>
  <c r="T229" i="1"/>
  <c r="T228" i="1" s="1"/>
  <c r="T226" i="1"/>
  <c r="T223" i="1"/>
  <c r="T218" i="1"/>
  <c r="T212" i="1"/>
  <c r="T208" i="1"/>
  <c r="T207" i="1"/>
  <c r="T205" i="1"/>
  <c r="T198" i="1"/>
  <c r="T196" i="1"/>
  <c r="T194" i="1"/>
  <c r="T191" i="1"/>
  <c r="T182" i="1"/>
  <c r="T164" i="1"/>
  <c r="T158" i="1"/>
  <c r="T148" i="1"/>
  <c r="T145" i="1"/>
  <c r="T144" i="1"/>
  <c r="T136" i="1"/>
  <c r="T133" i="1"/>
  <c r="T124" i="1"/>
  <c r="T115" i="1"/>
  <c r="T101" i="1" s="1"/>
  <c r="T113" i="1"/>
  <c r="T109" i="1"/>
  <c r="T102" i="1"/>
  <c r="T98" i="1"/>
  <c r="T96" i="1"/>
  <c r="T94" i="1"/>
  <c r="T92" i="1"/>
  <c r="T90" i="1"/>
  <c r="T86" i="1"/>
  <c r="T82" i="1"/>
  <c r="T81" i="1" s="1"/>
  <c r="T79" i="1"/>
  <c r="T74" i="1"/>
  <c r="T73" i="1" s="1"/>
  <c r="T70" i="1"/>
  <c r="T66" i="1"/>
  <c r="T64" i="1"/>
  <c r="T62" i="1"/>
  <c r="T57" i="1"/>
  <c r="T54" i="1"/>
  <c r="T50" i="1"/>
  <c r="T48" i="1"/>
  <c r="T40" i="1"/>
  <c r="T39" i="1"/>
  <c r="T35" i="1"/>
  <c r="T23" i="1" s="1"/>
  <c r="T21" i="1"/>
  <c r="T20" i="1"/>
  <c r="T18" i="1"/>
  <c r="T17" i="1" s="1"/>
  <c r="T15" i="1"/>
  <c r="T14" i="1" s="1"/>
  <c r="R232" i="1"/>
  <c r="R229" i="1"/>
  <c r="R228" i="1"/>
  <c r="R226" i="1"/>
  <c r="R223" i="1"/>
  <c r="R218" i="1"/>
  <c r="R212" i="1"/>
  <c r="R208" i="1"/>
  <c r="R205" i="1"/>
  <c r="R200" i="1"/>
  <c r="R198" i="1"/>
  <c r="R196" i="1"/>
  <c r="R194" i="1"/>
  <c r="R191" i="1"/>
  <c r="R190" i="1" s="1"/>
  <c r="R182" i="1"/>
  <c r="R171" i="1"/>
  <c r="R164" i="1"/>
  <c r="R158" i="1"/>
  <c r="R151" i="1"/>
  <c r="R148" i="1"/>
  <c r="R145" i="1"/>
  <c r="R138" i="1"/>
  <c r="R136" i="1"/>
  <c r="R133" i="1"/>
  <c r="R124" i="1"/>
  <c r="R115" i="1"/>
  <c r="R113" i="1"/>
  <c r="R109" i="1"/>
  <c r="R102" i="1"/>
  <c r="R98" i="1"/>
  <c r="R96" i="1"/>
  <c r="R94" i="1"/>
  <c r="R92" i="1"/>
  <c r="R90" i="1"/>
  <c r="R89" i="1" s="1"/>
  <c r="R86" i="1"/>
  <c r="R82" i="1"/>
  <c r="R81" i="1"/>
  <c r="R79" i="1"/>
  <c r="R74" i="1"/>
  <c r="R73" i="1" s="1"/>
  <c r="R70" i="1"/>
  <c r="R61" i="1" s="1"/>
  <c r="R66" i="1"/>
  <c r="R64" i="1"/>
  <c r="R62" i="1"/>
  <c r="R57" i="1"/>
  <c r="R54" i="1"/>
  <c r="R50" i="1"/>
  <c r="R48" i="1"/>
  <c r="R47" i="1" s="1"/>
  <c r="R40" i="1"/>
  <c r="R39" i="1" s="1"/>
  <c r="R35" i="1"/>
  <c r="R24" i="1"/>
  <c r="R23" i="1" s="1"/>
  <c r="R21" i="1"/>
  <c r="R20" i="1"/>
  <c r="R18" i="1"/>
  <c r="R17" i="1" s="1"/>
  <c r="R15" i="1"/>
  <c r="R14" i="1"/>
  <c r="Q181" i="1"/>
  <c r="S181" i="1" s="1"/>
  <c r="U181" i="1" s="1"/>
  <c r="P171" i="1"/>
  <c r="P145" i="1"/>
  <c r="P144" i="1" s="1"/>
  <c r="Q146" i="1"/>
  <c r="S146" i="1" s="1"/>
  <c r="U146" i="1" s="1"/>
  <c r="P141" i="1"/>
  <c r="P138" i="1" s="1"/>
  <c r="P82" i="1"/>
  <c r="Q85" i="1"/>
  <c r="S85" i="1"/>
  <c r="U85" i="1"/>
  <c r="Q45" i="1"/>
  <c r="S45" i="1" s="1"/>
  <c r="U45" i="1" s="1"/>
  <c r="P27" i="1"/>
  <c r="P232" i="1"/>
  <c r="P229" i="1"/>
  <c r="P228" i="1"/>
  <c r="P226" i="1"/>
  <c r="P223" i="1"/>
  <c r="P218" i="1"/>
  <c r="P212" i="1"/>
  <c r="P208" i="1"/>
  <c r="P205" i="1"/>
  <c r="P200" i="1"/>
  <c r="P198" i="1"/>
  <c r="P196" i="1"/>
  <c r="P194" i="1"/>
  <c r="P191" i="1"/>
  <c r="P190" i="1"/>
  <c r="P182" i="1"/>
  <c r="P164" i="1"/>
  <c r="P158" i="1"/>
  <c r="P151" i="1"/>
  <c r="P148" i="1"/>
  <c r="P136" i="1"/>
  <c r="P133" i="1"/>
  <c r="P124" i="1"/>
  <c r="P115" i="1"/>
  <c r="P113" i="1"/>
  <c r="P109" i="1"/>
  <c r="P102" i="1"/>
  <c r="P98" i="1"/>
  <c r="P96" i="1"/>
  <c r="P94" i="1"/>
  <c r="P92" i="1"/>
  <c r="P90" i="1"/>
  <c r="P89" i="1"/>
  <c r="P86" i="1"/>
  <c r="P81" i="1" s="1"/>
  <c r="P79" i="1"/>
  <c r="P74" i="1"/>
  <c r="P73" i="1"/>
  <c r="P70" i="1"/>
  <c r="P66" i="1"/>
  <c r="P64" i="1"/>
  <c r="P62" i="1"/>
  <c r="P61" i="1" s="1"/>
  <c r="P57" i="1"/>
  <c r="P54" i="1"/>
  <c r="P50" i="1"/>
  <c r="P48" i="1"/>
  <c r="P47" i="1" s="1"/>
  <c r="P40" i="1"/>
  <c r="P39" i="1" s="1"/>
  <c r="P35" i="1"/>
  <c r="P33" i="1"/>
  <c r="P32" i="1"/>
  <c r="P24" i="1" s="1"/>
  <c r="P23" i="1" s="1"/>
  <c r="P21" i="1"/>
  <c r="P20" i="1"/>
  <c r="P18" i="1"/>
  <c r="P17" i="1" s="1"/>
  <c r="P15" i="1"/>
  <c r="P14" i="1"/>
  <c r="N100" i="1"/>
  <c r="N98" i="1" s="1"/>
  <c r="O26" i="1"/>
  <c r="Q26" i="1" s="1"/>
  <c r="S26" i="1" s="1"/>
  <c r="U26" i="1" s="1"/>
  <c r="N27" i="1"/>
  <c r="N33" i="1"/>
  <c r="O33" i="1"/>
  <c r="Q33" i="1" s="1"/>
  <c r="S33" i="1" s="1"/>
  <c r="U33" i="1" s="1"/>
  <c r="N32" i="1"/>
  <c r="O32" i="1"/>
  <c r="Q32" i="1" s="1"/>
  <c r="S32" i="1" s="1"/>
  <c r="U32" i="1" s="1"/>
  <c r="N170" i="1"/>
  <c r="N164" i="1" s="1"/>
  <c r="N163" i="1"/>
  <c r="N206" i="1"/>
  <c r="N205" i="1" s="1"/>
  <c r="O227" i="1"/>
  <c r="Q227" i="1" s="1"/>
  <c r="N226" i="1"/>
  <c r="M226" i="1"/>
  <c r="O217" i="1"/>
  <c r="Q217" i="1" s="1"/>
  <c r="S217" i="1" s="1"/>
  <c r="U217" i="1" s="1"/>
  <c r="N212" i="1"/>
  <c r="N102" i="1"/>
  <c r="O108" i="1"/>
  <c r="Q108" i="1"/>
  <c r="S108" i="1" s="1"/>
  <c r="U108" i="1" s="1"/>
  <c r="O107" i="1"/>
  <c r="Q107" i="1"/>
  <c r="S107" i="1" s="1"/>
  <c r="U107" i="1" s="1"/>
  <c r="N25" i="1"/>
  <c r="N24" i="1"/>
  <c r="N195" i="1"/>
  <c r="N194" i="1" s="1"/>
  <c r="N232" i="1"/>
  <c r="N229" i="1"/>
  <c r="N228" i="1"/>
  <c r="N223" i="1"/>
  <c r="N207" i="1" s="1"/>
  <c r="N218" i="1"/>
  <c r="N208" i="1"/>
  <c r="N200" i="1"/>
  <c r="N198" i="1"/>
  <c r="N196" i="1"/>
  <c r="N191" i="1"/>
  <c r="N182" i="1"/>
  <c r="N150" i="1" s="1"/>
  <c r="N171" i="1"/>
  <c r="N158" i="1"/>
  <c r="N151" i="1"/>
  <c r="N148" i="1"/>
  <c r="N145" i="1"/>
  <c r="N138" i="1"/>
  <c r="N136" i="1"/>
  <c r="N133" i="1"/>
  <c r="N124" i="1"/>
  <c r="N115" i="1"/>
  <c r="N113" i="1"/>
  <c r="N101" i="1" s="1"/>
  <c r="N109" i="1"/>
  <c r="N96" i="1"/>
  <c r="N94" i="1"/>
  <c r="N92" i="1"/>
  <c r="N90" i="1"/>
  <c r="N86" i="1"/>
  <c r="N82" i="1"/>
  <c r="N79" i="1"/>
  <c r="N74" i="1"/>
  <c r="N73" i="1" s="1"/>
  <c r="N70" i="1"/>
  <c r="N66" i="1"/>
  <c r="N64" i="1"/>
  <c r="N62" i="1"/>
  <c r="N57" i="1"/>
  <c r="N54" i="1"/>
  <c r="N50" i="1"/>
  <c r="N47" i="1" s="1"/>
  <c r="N48" i="1"/>
  <c r="N40" i="1"/>
  <c r="N39" i="1"/>
  <c r="N35" i="1"/>
  <c r="N21" i="1"/>
  <c r="N20" i="1" s="1"/>
  <c r="N18" i="1"/>
  <c r="N17" i="1"/>
  <c r="N15" i="1"/>
  <c r="N14" i="1" s="1"/>
  <c r="M149" i="1"/>
  <c r="M148" i="1" s="1"/>
  <c r="L232" i="1"/>
  <c r="L229" i="1"/>
  <c r="L228" i="1"/>
  <c r="L223" i="1"/>
  <c r="L218" i="1"/>
  <c r="L212" i="1"/>
  <c r="L208" i="1"/>
  <c r="L207" i="1" s="1"/>
  <c r="L205" i="1"/>
  <c r="L200" i="1"/>
  <c r="L198" i="1"/>
  <c r="L196" i="1"/>
  <c r="L194" i="1"/>
  <c r="L191" i="1"/>
  <c r="L190" i="1"/>
  <c r="L182" i="1"/>
  <c r="L171" i="1"/>
  <c r="L164" i="1"/>
  <c r="L158" i="1"/>
  <c r="L151" i="1"/>
  <c r="L148" i="1"/>
  <c r="L145" i="1"/>
  <c r="L144" i="1"/>
  <c r="L138" i="1"/>
  <c r="L136" i="1"/>
  <c r="L133" i="1"/>
  <c r="L124" i="1"/>
  <c r="L115" i="1"/>
  <c r="L113" i="1"/>
  <c r="L109" i="1"/>
  <c r="L102" i="1"/>
  <c r="L101" i="1" s="1"/>
  <c r="L98" i="1"/>
  <c r="L96" i="1"/>
  <c r="L94" i="1"/>
  <c r="L92" i="1"/>
  <c r="L90" i="1"/>
  <c r="L89" i="1" s="1"/>
  <c r="L86" i="1"/>
  <c r="L82" i="1"/>
  <c r="L79" i="1"/>
  <c r="L74" i="1"/>
  <c r="L73" i="1"/>
  <c r="L70" i="1"/>
  <c r="L66" i="1"/>
  <c r="L64" i="1"/>
  <c r="L62" i="1"/>
  <c r="L61" i="1" s="1"/>
  <c r="L57" i="1"/>
  <c r="L54" i="1"/>
  <c r="L50" i="1"/>
  <c r="L48" i="1"/>
  <c r="L47" i="1" s="1"/>
  <c r="L40" i="1"/>
  <c r="L39" i="1" s="1"/>
  <c r="L35" i="1"/>
  <c r="L24" i="1"/>
  <c r="L23" i="1"/>
  <c r="L21" i="1"/>
  <c r="L20" i="1" s="1"/>
  <c r="L18" i="1"/>
  <c r="L17" i="1"/>
  <c r="L15" i="1"/>
  <c r="L14" i="1" s="1"/>
  <c r="J40" i="1"/>
  <c r="J39" i="1"/>
  <c r="J182" i="1"/>
  <c r="K189" i="1"/>
  <c r="M189" i="1" s="1"/>
  <c r="O189" i="1" s="1"/>
  <c r="Q189" i="1"/>
  <c r="S189" i="1" s="1"/>
  <c r="U189" i="1" s="1"/>
  <c r="K188" i="1"/>
  <c r="M188" i="1" s="1"/>
  <c r="O188" i="1" s="1"/>
  <c r="Q188" i="1" s="1"/>
  <c r="S188" i="1" s="1"/>
  <c r="U188" i="1"/>
  <c r="K46" i="1"/>
  <c r="M46" i="1" s="1"/>
  <c r="O46" i="1" s="1"/>
  <c r="Q46" i="1" s="1"/>
  <c r="S46" i="1" s="1"/>
  <c r="U46" i="1" s="1"/>
  <c r="K42" i="1"/>
  <c r="J232" i="1"/>
  <c r="J229" i="1"/>
  <c r="J228" i="1"/>
  <c r="J223" i="1"/>
  <c r="J218" i="1"/>
  <c r="J212" i="1"/>
  <c r="J208" i="1"/>
  <c r="J207" i="1" s="1"/>
  <c r="J205" i="1"/>
  <c r="J200" i="1"/>
  <c r="J198" i="1"/>
  <c r="J196" i="1"/>
  <c r="J194" i="1"/>
  <c r="J191" i="1"/>
  <c r="J171" i="1"/>
  <c r="J164" i="1"/>
  <c r="J158" i="1"/>
  <c r="J151" i="1"/>
  <c r="K148" i="1"/>
  <c r="J148" i="1"/>
  <c r="J145" i="1"/>
  <c r="J144" i="1"/>
  <c r="J138" i="1"/>
  <c r="J136" i="1"/>
  <c r="J133" i="1"/>
  <c r="J124" i="1"/>
  <c r="J115" i="1"/>
  <c r="J113" i="1"/>
  <c r="J109" i="1"/>
  <c r="J102" i="1"/>
  <c r="J101" i="1" s="1"/>
  <c r="J98" i="1"/>
  <c r="J96" i="1"/>
  <c r="J94" i="1"/>
  <c r="J92" i="1"/>
  <c r="J90" i="1"/>
  <c r="J89" i="1" s="1"/>
  <c r="J86" i="1"/>
  <c r="J82" i="1"/>
  <c r="J79" i="1"/>
  <c r="J74" i="1"/>
  <c r="J73" i="1" s="1"/>
  <c r="J70" i="1"/>
  <c r="J66" i="1"/>
  <c r="J64" i="1"/>
  <c r="J62" i="1"/>
  <c r="J57" i="1"/>
  <c r="J54" i="1"/>
  <c r="J50" i="1"/>
  <c r="J48" i="1"/>
  <c r="J35" i="1"/>
  <c r="J24" i="1"/>
  <c r="J21" i="1"/>
  <c r="J20" i="1"/>
  <c r="J18" i="1"/>
  <c r="J17" i="1" s="1"/>
  <c r="J15" i="1"/>
  <c r="J14" i="1"/>
  <c r="I65" i="1"/>
  <c r="I55" i="1"/>
  <c r="K55" i="1"/>
  <c r="M55" i="1"/>
  <c r="M54" i="1" s="1"/>
  <c r="H232" i="1"/>
  <c r="H229" i="1"/>
  <c r="H228" i="1"/>
  <c r="H223" i="1"/>
  <c r="H218" i="1"/>
  <c r="H212" i="1"/>
  <c r="H208" i="1"/>
  <c r="H207" i="1"/>
  <c r="H205" i="1"/>
  <c r="H200" i="1"/>
  <c r="H198" i="1"/>
  <c r="H196" i="1"/>
  <c r="H190" i="1" s="1"/>
  <c r="H194" i="1"/>
  <c r="H191" i="1"/>
  <c r="H182" i="1"/>
  <c r="H171" i="1"/>
  <c r="H164" i="1"/>
  <c r="H158" i="1"/>
  <c r="H151" i="1"/>
  <c r="H150" i="1" s="1"/>
  <c r="I148" i="1"/>
  <c r="H148" i="1"/>
  <c r="H145" i="1"/>
  <c r="H144" i="1"/>
  <c r="H138" i="1"/>
  <c r="H136" i="1"/>
  <c r="H133" i="1"/>
  <c r="H124" i="1"/>
  <c r="H115" i="1"/>
  <c r="H113" i="1"/>
  <c r="H109" i="1"/>
  <c r="H102" i="1"/>
  <c r="H98" i="1"/>
  <c r="H96" i="1"/>
  <c r="H94" i="1"/>
  <c r="H92" i="1"/>
  <c r="H90" i="1"/>
  <c r="H89" i="1" s="1"/>
  <c r="H86" i="1"/>
  <c r="H82" i="1"/>
  <c r="H79" i="1"/>
  <c r="H74" i="1"/>
  <c r="H73" i="1" s="1"/>
  <c r="H70" i="1"/>
  <c r="H66" i="1"/>
  <c r="H64" i="1"/>
  <c r="H62" i="1"/>
  <c r="H57" i="1"/>
  <c r="H54" i="1"/>
  <c r="H47" i="1" s="1"/>
  <c r="H50" i="1"/>
  <c r="H48" i="1"/>
  <c r="H39" i="1"/>
  <c r="H35" i="1"/>
  <c r="H24" i="1"/>
  <c r="H23" i="1"/>
  <c r="H21" i="1"/>
  <c r="H20" i="1" s="1"/>
  <c r="H18" i="1"/>
  <c r="H17" i="1"/>
  <c r="H15" i="1"/>
  <c r="H14" i="1"/>
  <c r="G234" i="1"/>
  <c r="I234" i="1"/>
  <c r="G233" i="1"/>
  <c r="I233" i="1"/>
  <c r="K233" i="1" s="1"/>
  <c r="M233" i="1" s="1"/>
  <c r="O233" i="1" s="1"/>
  <c r="Q233" i="1"/>
  <c r="S233" i="1" s="1"/>
  <c r="U233" i="1" s="1"/>
  <c r="G230" i="1"/>
  <c r="I230" i="1" s="1"/>
  <c r="K230" i="1" s="1"/>
  <c r="G225" i="1"/>
  <c r="I225" i="1"/>
  <c r="G224" i="1"/>
  <c r="I224" i="1" s="1"/>
  <c r="G220" i="1"/>
  <c r="I220" i="1"/>
  <c r="K220" i="1" s="1"/>
  <c r="M220" i="1" s="1"/>
  <c r="O220" i="1" s="1"/>
  <c r="Q220" i="1"/>
  <c r="S220" i="1" s="1"/>
  <c r="U220" i="1" s="1"/>
  <c r="G221" i="1"/>
  <c r="I221" i="1"/>
  <c r="K221" i="1"/>
  <c r="G222" i="1"/>
  <c r="I222" i="1"/>
  <c r="K222" i="1"/>
  <c r="M222" i="1" s="1"/>
  <c r="O222" i="1" s="1"/>
  <c r="Q222" i="1" s="1"/>
  <c r="S222" i="1" s="1"/>
  <c r="U222" i="1" s="1"/>
  <c r="G219" i="1"/>
  <c r="I219" i="1"/>
  <c r="G215" i="1"/>
  <c r="I215" i="1"/>
  <c r="K215" i="1" s="1"/>
  <c r="M215" i="1"/>
  <c r="O215" i="1" s="1"/>
  <c r="Q215" i="1" s="1"/>
  <c r="S215" i="1" s="1"/>
  <c r="U215" i="1"/>
  <c r="G206" i="1"/>
  <c r="G204" i="1"/>
  <c r="I204" i="1"/>
  <c r="K204" i="1"/>
  <c r="M204" i="1" s="1"/>
  <c r="O204" i="1" s="1"/>
  <c r="Q204" i="1" s="1"/>
  <c r="S204" i="1" s="1"/>
  <c r="U204" i="1" s="1"/>
  <c r="G199" i="1"/>
  <c r="I199" i="1" s="1"/>
  <c r="G197" i="1"/>
  <c r="I197" i="1" s="1"/>
  <c r="G195" i="1"/>
  <c r="I195" i="1" s="1"/>
  <c r="K195" i="1" s="1"/>
  <c r="M195" i="1" s="1"/>
  <c r="G193" i="1"/>
  <c r="I193" i="1" s="1"/>
  <c r="K193" i="1" s="1"/>
  <c r="M193" i="1" s="1"/>
  <c r="O193" i="1" s="1"/>
  <c r="Q193" i="1" s="1"/>
  <c r="S193" i="1" s="1"/>
  <c r="U193" i="1" s="1"/>
  <c r="G192" i="1"/>
  <c r="G184" i="1"/>
  <c r="I184" i="1" s="1"/>
  <c r="K184" i="1" s="1"/>
  <c r="G185" i="1"/>
  <c r="I185" i="1"/>
  <c r="G186" i="1"/>
  <c r="I186" i="1"/>
  <c r="K186" i="1" s="1"/>
  <c r="M186" i="1" s="1"/>
  <c r="O186" i="1"/>
  <c r="Q186" i="1" s="1"/>
  <c r="S186" i="1" s="1"/>
  <c r="U186" i="1" s="1"/>
  <c r="G187" i="1"/>
  <c r="I187" i="1"/>
  <c r="K187" i="1" s="1"/>
  <c r="M187" i="1" s="1"/>
  <c r="O187" i="1" s="1"/>
  <c r="Q187" i="1" s="1"/>
  <c r="S187" i="1" s="1"/>
  <c r="U187" i="1" s="1"/>
  <c r="G183" i="1"/>
  <c r="G182" i="1" s="1"/>
  <c r="I183" i="1"/>
  <c r="K183" i="1" s="1"/>
  <c r="M183" i="1" s="1"/>
  <c r="G173" i="1"/>
  <c r="I173" i="1"/>
  <c r="G174" i="1"/>
  <c r="G177" i="1"/>
  <c r="I177" i="1" s="1"/>
  <c r="K177" i="1" s="1"/>
  <c r="M177" i="1"/>
  <c r="O177" i="1" s="1"/>
  <c r="Q177" i="1" s="1"/>
  <c r="G178" i="1"/>
  <c r="I178" i="1" s="1"/>
  <c r="K178" i="1"/>
  <c r="M178" i="1"/>
  <c r="O178" i="1" s="1"/>
  <c r="Q178" i="1" s="1"/>
  <c r="S178" i="1" s="1"/>
  <c r="U178" i="1" s="1"/>
  <c r="G179" i="1"/>
  <c r="I179" i="1" s="1"/>
  <c r="K179" i="1"/>
  <c r="M179" i="1"/>
  <c r="O179" i="1" s="1"/>
  <c r="Q179" i="1" s="1"/>
  <c r="S179" i="1" s="1"/>
  <c r="U179" i="1" s="1"/>
  <c r="G180" i="1"/>
  <c r="I180" i="1" s="1"/>
  <c r="K180" i="1"/>
  <c r="M180" i="1" s="1"/>
  <c r="O180" i="1" s="1"/>
  <c r="Q180" i="1" s="1"/>
  <c r="S180" i="1" s="1"/>
  <c r="U180" i="1" s="1"/>
  <c r="G172" i="1"/>
  <c r="I172" i="1" s="1"/>
  <c r="G166" i="1"/>
  <c r="I166" i="1" s="1"/>
  <c r="K166" i="1" s="1"/>
  <c r="M166" i="1"/>
  <c r="O166" i="1" s="1"/>
  <c r="Q166" i="1" s="1"/>
  <c r="S166" i="1" s="1"/>
  <c r="U166" i="1" s="1"/>
  <c r="G167" i="1"/>
  <c r="I167" i="1" s="1"/>
  <c r="K167" i="1" s="1"/>
  <c r="M167" i="1"/>
  <c r="O167" i="1"/>
  <c r="Q167" i="1" s="1"/>
  <c r="S167" i="1" s="1"/>
  <c r="U167" i="1" s="1"/>
  <c r="G168" i="1"/>
  <c r="I168" i="1" s="1"/>
  <c r="K168" i="1" s="1"/>
  <c r="M168" i="1"/>
  <c r="O168" i="1" s="1"/>
  <c r="Q168" i="1" s="1"/>
  <c r="S168" i="1" s="1"/>
  <c r="U168" i="1" s="1"/>
  <c r="G169" i="1"/>
  <c r="I169" i="1" s="1"/>
  <c r="K169" i="1" s="1"/>
  <c r="M169" i="1"/>
  <c r="O169" i="1"/>
  <c r="Q169" i="1" s="1"/>
  <c r="S169" i="1" s="1"/>
  <c r="U169" i="1" s="1"/>
  <c r="G170" i="1"/>
  <c r="I170" i="1" s="1"/>
  <c r="K170" i="1" s="1"/>
  <c r="M170" i="1"/>
  <c r="O170" i="1" s="1"/>
  <c r="Q170" i="1" s="1"/>
  <c r="S170" i="1" s="1"/>
  <c r="U170" i="1" s="1"/>
  <c r="G165" i="1"/>
  <c r="I165" i="1" s="1"/>
  <c r="K165" i="1" s="1"/>
  <c r="K164" i="1" s="1"/>
  <c r="G160" i="1"/>
  <c r="I160" i="1"/>
  <c r="G161" i="1"/>
  <c r="I161" i="1"/>
  <c r="K161" i="1"/>
  <c r="M161" i="1" s="1"/>
  <c r="O161" i="1" s="1"/>
  <c r="Q161" i="1"/>
  <c r="S161" i="1"/>
  <c r="U161" i="1" s="1"/>
  <c r="G163" i="1"/>
  <c r="I163" i="1"/>
  <c r="K163" i="1"/>
  <c r="M163" i="1" s="1"/>
  <c r="O163" i="1" s="1"/>
  <c r="Q163" i="1"/>
  <c r="S163" i="1" s="1"/>
  <c r="U163" i="1" s="1"/>
  <c r="G154" i="1"/>
  <c r="I154" i="1"/>
  <c r="K154" i="1" s="1"/>
  <c r="G155" i="1"/>
  <c r="I155" i="1" s="1"/>
  <c r="K155" i="1"/>
  <c r="M155" i="1"/>
  <c r="O155" i="1" s="1"/>
  <c r="Q155" i="1" s="1"/>
  <c r="S155" i="1" s="1"/>
  <c r="U155" i="1" s="1"/>
  <c r="G156" i="1"/>
  <c r="I156" i="1" s="1"/>
  <c r="K156" i="1"/>
  <c r="M156" i="1"/>
  <c r="O156" i="1" s="1"/>
  <c r="Q156" i="1" s="1"/>
  <c r="S156" i="1" s="1"/>
  <c r="U156" i="1" s="1"/>
  <c r="G157" i="1"/>
  <c r="I157" i="1" s="1"/>
  <c r="K157" i="1"/>
  <c r="M157" i="1" s="1"/>
  <c r="O157" i="1" s="1"/>
  <c r="Q157" i="1" s="1"/>
  <c r="S157" i="1" s="1"/>
  <c r="U157" i="1" s="1"/>
  <c r="G153" i="1"/>
  <c r="I153" i="1" s="1"/>
  <c r="G147" i="1"/>
  <c r="G145" i="1" s="1"/>
  <c r="I147" i="1"/>
  <c r="G140" i="1"/>
  <c r="I140" i="1"/>
  <c r="G141" i="1"/>
  <c r="I141" i="1" s="1"/>
  <c r="K141" i="1" s="1"/>
  <c r="M141" i="1"/>
  <c r="O141" i="1"/>
  <c r="Q141" i="1" s="1"/>
  <c r="S141" i="1" s="1"/>
  <c r="U141" i="1"/>
  <c r="G142" i="1"/>
  <c r="I142" i="1" s="1"/>
  <c r="K142" i="1" s="1"/>
  <c r="M142" i="1"/>
  <c r="O142" i="1"/>
  <c r="Q142" i="1" s="1"/>
  <c r="S142" i="1" s="1"/>
  <c r="U142" i="1"/>
  <c r="G139" i="1"/>
  <c r="I139" i="1" s="1"/>
  <c r="K139" i="1" s="1"/>
  <c r="G137" i="1"/>
  <c r="I137" i="1"/>
  <c r="I136" i="1" s="1"/>
  <c r="G135" i="1"/>
  <c r="I135" i="1" s="1"/>
  <c r="K135" i="1" s="1"/>
  <c r="M135" i="1" s="1"/>
  <c r="O135" i="1" s="1"/>
  <c r="Q135" i="1" s="1"/>
  <c r="S135" i="1" s="1"/>
  <c r="U135" i="1" s="1"/>
  <c r="G134" i="1"/>
  <c r="G126" i="1"/>
  <c r="I126" i="1"/>
  <c r="K126" i="1"/>
  <c r="M126" i="1" s="1"/>
  <c r="O126" i="1" s="1"/>
  <c r="Q126" i="1"/>
  <c r="S126" i="1" s="1"/>
  <c r="U126" i="1" s="1"/>
  <c r="G127" i="1"/>
  <c r="I127" i="1"/>
  <c r="K127" i="1" s="1"/>
  <c r="G128" i="1"/>
  <c r="I128" i="1"/>
  <c r="K128" i="1" s="1"/>
  <c r="M128" i="1" s="1"/>
  <c r="O128" i="1" s="1"/>
  <c r="Q128" i="1" s="1"/>
  <c r="S128" i="1"/>
  <c r="U128" i="1" s="1"/>
  <c r="G129" i="1"/>
  <c r="I129" i="1"/>
  <c r="K129" i="1"/>
  <c r="M129" i="1" s="1"/>
  <c r="O129" i="1" s="1"/>
  <c r="Q129" i="1"/>
  <c r="S129" i="1" s="1"/>
  <c r="U129" i="1" s="1"/>
  <c r="G130" i="1"/>
  <c r="I130" i="1"/>
  <c r="K130" i="1"/>
  <c r="M130" i="1" s="1"/>
  <c r="O130" i="1" s="1"/>
  <c r="Q130" i="1" s="1"/>
  <c r="S130" i="1" s="1"/>
  <c r="U130" i="1" s="1"/>
  <c r="G131" i="1"/>
  <c r="I131" i="1"/>
  <c r="K131" i="1"/>
  <c r="M131" i="1" s="1"/>
  <c r="O131" i="1" s="1"/>
  <c r="Q131" i="1" s="1"/>
  <c r="S131" i="1" s="1"/>
  <c r="U131" i="1" s="1"/>
  <c r="G132" i="1"/>
  <c r="I132" i="1"/>
  <c r="K132" i="1" s="1"/>
  <c r="M132" i="1" s="1"/>
  <c r="O132" i="1" s="1"/>
  <c r="Q132" i="1" s="1"/>
  <c r="S132" i="1" s="1"/>
  <c r="U132" i="1" s="1"/>
  <c r="G125" i="1"/>
  <c r="I125" i="1"/>
  <c r="G117" i="1"/>
  <c r="I117" i="1" s="1"/>
  <c r="K117" i="1" s="1"/>
  <c r="M117" i="1" s="1"/>
  <c r="G118" i="1"/>
  <c r="I118" i="1"/>
  <c r="K118" i="1" s="1"/>
  <c r="M118" i="1" s="1"/>
  <c r="G119" i="1"/>
  <c r="I119" i="1" s="1"/>
  <c r="G120" i="1"/>
  <c r="I120" i="1" s="1"/>
  <c r="K120" i="1" s="1"/>
  <c r="M120" i="1" s="1"/>
  <c r="O120" i="1" s="1"/>
  <c r="Q120" i="1" s="1"/>
  <c r="S120" i="1" s="1"/>
  <c r="U120" i="1" s="1"/>
  <c r="G121" i="1"/>
  <c r="I121" i="1" s="1"/>
  <c r="K121" i="1" s="1"/>
  <c r="M121" i="1" s="1"/>
  <c r="O121" i="1" s="1"/>
  <c r="Q121" i="1" s="1"/>
  <c r="S121" i="1" s="1"/>
  <c r="U121" i="1" s="1"/>
  <c r="G122" i="1"/>
  <c r="I122" i="1" s="1"/>
  <c r="K122" i="1" s="1"/>
  <c r="M122" i="1" s="1"/>
  <c r="O122" i="1" s="1"/>
  <c r="Q122" i="1" s="1"/>
  <c r="S122" i="1" s="1"/>
  <c r="U122" i="1" s="1"/>
  <c r="G123" i="1"/>
  <c r="I123" i="1" s="1"/>
  <c r="K123" i="1" s="1"/>
  <c r="M123" i="1" s="1"/>
  <c r="O123" i="1" s="1"/>
  <c r="Q123" i="1" s="1"/>
  <c r="S123" i="1" s="1"/>
  <c r="U123" i="1" s="1"/>
  <c r="G116" i="1"/>
  <c r="I116" i="1" s="1"/>
  <c r="G114" i="1"/>
  <c r="I114" i="1" s="1"/>
  <c r="I113" i="1" s="1"/>
  <c r="G111" i="1"/>
  <c r="I111" i="1"/>
  <c r="K111" i="1" s="1"/>
  <c r="M111" i="1" s="1"/>
  <c r="G112" i="1"/>
  <c r="I112" i="1" s="1"/>
  <c r="K112" i="1" s="1"/>
  <c r="M112" i="1" s="1"/>
  <c r="O112" i="1" s="1"/>
  <c r="G110" i="1"/>
  <c r="I110" i="1" s="1"/>
  <c r="G104" i="1"/>
  <c r="I104" i="1"/>
  <c r="K104" i="1" s="1"/>
  <c r="M104" i="1" s="1"/>
  <c r="O104" i="1" s="1"/>
  <c r="Q104" i="1" s="1"/>
  <c r="S104" i="1" s="1"/>
  <c r="U104" i="1" s="1"/>
  <c r="G105" i="1"/>
  <c r="I105" i="1"/>
  <c r="K105" i="1"/>
  <c r="M105" i="1" s="1"/>
  <c r="O105" i="1" s="1"/>
  <c r="Q105" i="1"/>
  <c r="S105" i="1"/>
  <c r="U105" i="1" s="1"/>
  <c r="G106" i="1"/>
  <c r="I106" i="1"/>
  <c r="K106" i="1"/>
  <c r="M106" i="1" s="1"/>
  <c r="O106" i="1" s="1"/>
  <c r="Q106" i="1"/>
  <c r="S106" i="1" s="1"/>
  <c r="U106" i="1" s="1"/>
  <c r="G103" i="1"/>
  <c r="I103" i="1"/>
  <c r="G100" i="1"/>
  <c r="I100" i="1" s="1"/>
  <c r="K100" i="1" s="1"/>
  <c r="M100" i="1" s="1"/>
  <c r="O100" i="1" s="1"/>
  <c r="Q100" i="1" s="1"/>
  <c r="S100" i="1" s="1"/>
  <c r="U100" i="1"/>
  <c r="G99" i="1"/>
  <c r="G97" i="1"/>
  <c r="I97" i="1"/>
  <c r="G95" i="1"/>
  <c r="G93" i="1"/>
  <c r="I93" i="1"/>
  <c r="K93" i="1" s="1"/>
  <c r="G91" i="1"/>
  <c r="G88" i="1"/>
  <c r="I88" i="1"/>
  <c r="G87" i="1"/>
  <c r="I87" i="1" s="1"/>
  <c r="G84" i="1"/>
  <c r="I84" i="1"/>
  <c r="K84" i="1" s="1"/>
  <c r="M84" i="1" s="1"/>
  <c r="O84" i="1" s="1"/>
  <c r="Q84" i="1" s="1"/>
  <c r="S84" i="1" s="1"/>
  <c r="U84" i="1" s="1"/>
  <c r="G83" i="1"/>
  <c r="G80" i="1"/>
  <c r="I80" i="1"/>
  <c r="K80" i="1" s="1"/>
  <c r="M80" i="1" s="1"/>
  <c r="G76" i="1"/>
  <c r="G77" i="1"/>
  <c r="I77" i="1"/>
  <c r="K77" i="1"/>
  <c r="M77" i="1" s="1"/>
  <c r="O77" i="1" s="1"/>
  <c r="Q77" i="1"/>
  <c r="S77" i="1" s="1"/>
  <c r="U77" i="1" s="1"/>
  <c r="G78" i="1"/>
  <c r="I78" i="1"/>
  <c r="K78" i="1"/>
  <c r="M78" i="1" s="1"/>
  <c r="O78" i="1" s="1"/>
  <c r="Q78" i="1" s="1"/>
  <c r="S78" i="1" s="1"/>
  <c r="U78" i="1" s="1"/>
  <c r="G75" i="1"/>
  <c r="I75" i="1"/>
  <c r="G72" i="1"/>
  <c r="G71" i="1"/>
  <c r="I71" i="1"/>
  <c r="K71" i="1" s="1"/>
  <c r="G68" i="1"/>
  <c r="G69" i="1"/>
  <c r="I69" i="1"/>
  <c r="K69" i="1"/>
  <c r="G67" i="1"/>
  <c r="I67" i="1" s="1"/>
  <c r="G63" i="1"/>
  <c r="G59" i="1"/>
  <c r="I59" i="1" s="1"/>
  <c r="K59" i="1"/>
  <c r="M59" i="1" s="1"/>
  <c r="O59" i="1" s="1"/>
  <c r="Q59" i="1" s="1"/>
  <c r="S59" i="1" s="1"/>
  <c r="U59" i="1" s="1"/>
  <c r="G60" i="1"/>
  <c r="I60" i="1" s="1"/>
  <c r="K60" i="1" s="1"/>
  <c r="M60" i="1" s="1"/>
  <c r="O60" i="1" s="1"/>
  <c r="Q60" i="1" s="1"/>
  <c r="S60" i="1" s="1"/>
  <c r="U60" i="1"/>
  <c r="G58" i="1"/>
  <c r="G56" i="1"/>
  <c r="I56" i="1"/>
  <c r="G52" i="1"/>
  <c r="I52" i="1" s="1"/>
  <c r="K52" i="1" s="1"/>
  <c r="M52" i="1" s="1"/>
  <c r="O52" i="1" s="1"/>
  <c r="Q52" i="1" s="1"/>
  <c r="G53" i="1"/>
  <c r="I53" i="1" s="1"/>
  <c r="K53" i="1" s="1"/>
  <c r="M53" i="1" s="1"/>
  <c r="O53" i="1" s="1"/>
  <c r="Q53" i="1"/>
  <c r="S53" i="1" s="1"/>
  <c r="U53" i="1" s="1"/>
  <c r="G51" i="1"/>
  <c r="G49" i="1"/>
  <c r="I49" i="1" s="1"/>
  <c r="G44" i="1"/>
  <c r="I44" i="1"/>
  <c r="K44" i="1" s="1"/>
  <c r="M44" i="1" s="1"/>
  <c r="O44" i="1" s="1"/>
  <c r="Q44" i="1" s="1"/>
  <c r="S44" i="1" s="1"/>
  <c r="U44" i="1" s="1"/>
  <c r="G43" i="1"/>
  <c r="I43" i="1"/>
  <c r="G37" i="1"/>
  <c r="I37" i="1" s="1"/>
  <c r="K37" i="1" s="1"/>
  <c r="G38" i="1"/>
  <c r="I38" i="1" s="1"/>
  <c r="K38" i="1" s="1"/>
  <c r="M38" i="1" s="1"/>
  <c r="O38" i="1" s="1"/>
  <c r="Q38" i="1" s="1"/>
  <c r="S38" i="1" s="1"/>
  <c r="U38" i="1" s="1"/>
  <c r="G36" i="1"/>
  <c r="G27" i="1"/>
  <c r="I27" i="1" s="1"/>
  <c r="K27" i="1"/>
  <c r="G28" i="1"/>
  <c r="I28" i="1" s="1"/>
  <c r="K28" i="1" s="1"/>
  <c r="M28" i="1" s="1"/>
  <c r="O28" i="1" s="1"/>
  <c r="Q28" i="1" s="1"/>
  <c r="S28" i="1" s="1"/>
  <c r="U28" i="1"/>
  <c r="G29" i="1"/>
  <c r="I29" i="1" s="1"/>
  <c r="K29" i="1" s="1"/>
  <c r="M29" i="1" s="1"/>
  <c r="O29" i="1" s="1"/>
  <c r="Q29" i="1" s="1"/>
  <c r="S29" i="1" s="1"/>
  <c r="U29" i="1"/>
  <c r="G30" i="1"/>
  <c r="I30" i="1" s="1"/>
  <c r="K30" i="1" s="1"/>
  <c r="M30" i="1" s="1"/>
  <c r="O30" i="1" s="1"/>
  <c r="Q30" i="1" s="1"/>
  <c r="S30" i="1" s="1"/>
  <c r="U30" i="1"/>
  <c r="G31" i="1"/>
  <c r="I31" i="1" s="1"/>
  <c r="K31" i="1" s="1"/>
  <c r="M31" i="1" s="1"/>
  <c r="O31" i="1" s="1"/>
  <c r="Q31" i="1" s="1"/>
  <c r="S31" i="1" s="1"/>
  <c r="U31" i="1"/>
  <c r="G25" i="1"/>
  <c r="G22" i="1"/>
  <c r="I22" i="1"/>
  <c r="K22" i="1" s="1"/>
  <c r="G19" i="1"/>
  <c r="G16" i="1"/>
  <c r="I16" i="1"/>
  <c r="I15" i="1" s="1"/>
  <c r="I14" i="1" s="1"/>
  <c r="G232" i="1"/>
  <c r="G229" i="1"/>
  <c r="G228" i="1" s="1"/>
  <c r="G223" i="1"/>
  <c r="G218" i="1"/>
  <c r="G198" i="1"/>
  <c r="G194" i="1"/>
  <c r="G151" i="1"/>
  <c r="G148" i="1"/>
  <c r="G144" i="1"/>
  <c r="G138" i="1"/>
  <c r="G136" i="1"/>
  <c r="G113" i="1"/>
  <c r="G109" i="1"/>
  <c r="G102" i="1"/>
  <c r="G96" i="1"/>
  <c r="G92" i="1"/>
  <c r="G86" i="1"/>
  <c r="G79" i="1"/>
  <c r="G64" i="1"/>
  <c r="G39" i="1"/>
  <c r="F232" i="1"/>
  <c r="F229" i="1"/>
  <c r="F228" i="1" s="1"/>
  <c r="F223" i="1"/>
  <c r="F218" i="1"/>
  <c r="F212" i="1"/>
  <c r="F208" i="1"/>
  <c r="F207" i="1"/>
  <c r="F205" i="1"/>
  <c r="F200" i="1"/>
  <c r="F198" i="1"/>
  <c r="F196" i="1"/>
  <c r="F194" i="1"/>
  <c r="F191" i="1"/>
  <c r="F182" i="1"/>
  <c r="F171" i="1"/>
  <c r="F164" i="1"/>
  <c r="F158" i="1"/>
  <c r="F151" i="1"/>
  <c r="F150" i="1"/>
  <c r="F148" i="1"/>
  <c r="F145" i="1"/>
  <c r="F138" i="1"/>
  <c r="F136" i="1"/>
  <c r="F133" i="1"/>
  <c r="F124" i="1"/>
  <c r="F115" i="1"/>
  <c r="F113" i="1"/>
  <c r="F109" i="1"/>
  <c r="F102" i="1"/>
  <c r="F98" i="1"/>
  <c r="F96" i="1"/>
  <c r="F94" i="1"/>
  <c r="F92" i="1"/>
  <c r="F90" i="1"/>
  <c r="F89" i="1" s="1"/>
  <c r="F86" i="1"/>
  <c r="F82" i="1"/>
  <c r="F81" i="1"/>
  <c r="F79" i="1"/>
  <c r="F74" i="1"/>
  <c r="F73" i="1" s="1"/>
  <c r="F70" i="1"/>
  <c r="F66" i="1"/>
  <c r="F64" i="1"/>
  <c r="F62" i="1"/>
  <c r="F61" i="1"/>
  <c r="F57" i="1"/>
  <c r="F54" i="1"/>
  <c r="F50" i="1"/>
  <c r="F48" i="1"/>
  <c r="F39" i="1"/>
  <c r="F35" i="1"/>
  <c r="F24" i="1"/>
  <c r="F23" i="1" s="1"/>
  <c r="F21" i="1"/>
  <c r="F20" i="1" s="1"/>
  <c r="F18" i="1"/>
  <c r="F17" i="1"/>
  <c r="F15" i="1"/>
  <c r="F14" i="1" s="1"/>
  <c r="A91" i="3"/>
  <c r="B91" i="3"/>
  <c r="E815" i="2"/>
  <c r="E812" i="2"/>
  <c r="E809" i="2" s="1"/>
  <c r="E801" i="2"/>
  <c r="E793" i="2"/>
  <c r="E792" i="2" s="1"/>
  <c r="E773" i="2"/>
  <c r="E612" i="2"/>
  <c r="E605" i="2" s="1"/>
  <c r="E606" i="2"/>
  <c r="E602" i="2"/>
  <c r="E600" i="2"/>
  <c r="E599" i="2"/>
  <c r="E598" i="2" s="1"/>
  <c r="E593" i="2"/>
  <c r="E592" i="2" s="1"/>
  <c r="E545" i="2"/>
  <c r="E539" i="2"/>
  <c r="E532" i="2"/>
  <c r="E531" i="2" s="1"/>
  <c r="E440" i="2"/>
  <c r="E439" i="2" s="1"/>
  <c r="E428" i="2"/>
  <c r="E427" i="2"/>
  <c r="E416" i="2" s="1"/>
  <c r="E418" i="2"/>
  <c r="E211" i="2"/>
  <c r="E210" i="2"/>
  <c r="E208" i="2"/>
  <c r="E207" i="2" s="1"/>
  <c r="E204" i="2"/>
  <c r="E203" i="2"/>
  <c r="E202" i="2"/>
  <c r="E139" i="2"/>
  <c r="E121" i="2"/>
  <c r="E119" i="2"/>
  <c r="E113" i="2"/>
  <c r="E110" i="2"/>
  <c r="E109" i="2" s="1"/>
  <c r="E100" i="2" s="1"/>
  <c r="E52" i="2"/>
  <c r="E51" i="2" s="1"/>
  <c r="E50" i="2" s="1"/>
  <c r="E22" i="2"/>
  <c r="E19" i="2"/>
  <c r="E18" i="2"/>
  <c r="E14" i="2" s="1"/>
  <c r="E16" i="2"/>
  <c r="E15" i="2" s="1"/>
  <c r="E12" i="2"/>
  <c r="E11" i="2"/>
  <c r="E10" i="2" s="1"/>
  <c r="E229" i="1"/>
  <c r="E228" i="1"/>
  <c r="E223" i="1"/>
  <c r="E218" i="1"/>
  <c r="E205" i="1"/>
  <c r="E198" i="1"/>
  <c r="E196" i="1"/>
  <c r="E194" i="1"/>
  <c r="E191" i="1"/>
  <c r="E182" i="1"/>
  <c r="E171" i="1"/>
  <c r="E164" i="1"/>
  <c r="E151" i="1"/>
  <c r="E148" i="1"/>
  <c r="E145" i="1"/>
  <c r="E144" i="1" s="1"/>
  <c r="E138" i="1"/>
  <c r="E136" i="1"/>
  <c r="E133" i="1"/>
  <c r="E124" i="1"/>
  <c r="E115" i="1"/>
  <c r="E113" i="1"/>
  <c r="E109" i="1"/>
  <c r="E102" i="1"/>
  <c r="E101" i="1"/>
  <c r="E98" i="1"/>
  <c r="E96" i="1"/>
  <c r="E94" i="1"/>
  <c r="E92" i="1"/>
  <c r="E90" i="1"/>
  <c r="E86" i="1"/>
  <c r="E82" i="1"/>
  <c r="E81" i="1" s="1"/>
  <c r="E79" i="1"/>
  <c r="E74" i="1"/>
  <c r="E73" i="1"/>
  <c r="E70" i="1"/>
  <c r="E66" i="1"/>
  <c r="E64" i="1"/>
  <c r="E62" i="1"/>
  <c r="E61" i="1" s="1"/>
  <c r="E57" i="1"/>
  <c r="E54" i="1"/>
  <c r="E50" i="1"/>
  <c r="E48" i="1"/>
  <c r="E47" i="1" s="1"/>
  <c r="E39" i="1"/>
  <c r="E35" i="1"/>
  <c r="E24" i="1"/>
  <c r="E23" i="1" s="1"/>
  <c r="E21" i="1"/>
  <c r="E20" i="1" s="1"/>
  <c r="E18" i="1"/>
  <c r="E17" i="1"/>
  <c r="E15" i="1"/>
  <c r="E14" i="1" s="1"/>
  <c r="E159" i="1"/>
  <c r="E158" i="1" s="1"/>
  <c r="E150" i="1" s="1"/>
  <c r="G159" i="1"/>
  <c r="I159" i="1" s="1"/>
  <c r="E162" i="1"/>
  <c r="G162" i="1" s="1"/>
  <c r="I162" i="1" s="1"/>
  <c r="K162" i="1" s="1"/>
  <c r="M162" i="1" s="1"/>
  <c r="O162" i="1" s="1"/>
  <c r="Q162" i="1" s="1"/>
  <c r="S162" i="1"/>
  <c r="U162" i="1" s="1"/>
  <c r="E202" i="1"/>
  <c r="G202" i="1"/>
  <c r="I202" i="1" s="1"/>
  <c r="E203" i="1"/>
  <c r="E209" i="1"/>
  <c r="G209" i="1" s="1"/>
  <c r="E210" i="1"/>
  <c r="G210" i="1" s="1"/>
  <c r="I210" i="1"/>
  <c r="K210" i="1"/>
  <c r="M210" i="1" s="1"/>
  <c r="O210" i="1" s="1"/>
  <c r="Q210" i="1" s="1"/>
  <c r="S210" i="1" s="1"/>
  <c r="U210" i="1" s="1"/>
  <c r="E211" i="1"/>
  <c r="G211" i="1"/>
  <c r="E213" i="1"/>
  <c r="E214" i="1"/>
  <c r="G214" i="1"/>
  <c r="I214" i="1"/>
  <c r="E216" i="1"/>
  <c r="G216" i="1" s="1"/>
  <c r="I216" i="1" s="1"/>
  <c r="K216" i="1" s="1"/>
  <c r="M216" i="1" s="1"/>
  <c r="O216" i="1" s="1"/>
  <c r="Q216" i="1" s="1"/>
  <c r="E232" i="1"/>
  <c r="F47" i="1"/>
  <c r="J190" i="1"/>
  <c r="M184" i="1"/>
  <c r="O184" i="1" s="1"/>
  <c r="Q184" i="1" s="1"/>
  <c r="S184" i="1" s="1"/>
  <c r="J150" i="1"/>
  <c r="E709" i="2"/>
  <c r="K137" i="1"/>
  <c r="M230" i="1"/>
  <c r="O230" i="1" s="1"/>
  <c r="I229" i="1"/>
  <c r="I228" i="1" s="1"/>
  <c r="K234" i="1"/>
  <c r="M234" i="1"/>
  <c r="M232" i="1" s="1"/>
  <c r="K232" i="1"/>
  <c r="I232" i="1"/>
  <c r="L150" i="1"/>
  <c r="K225" i="1"/>
  <c r="M225" i="1" s="1"/>
  <c r="O225" i="1" s="1"/>
  <c r="Q225" i="1" s="1"/>
  <c r="S225" i="1" s="1"/>
  <c r="U225" i="1" s="1"/>
  <c r="H101" i="1"/>
  <c r="N89" i="1"/>
  <c r="P207" i="1"/>
  <c r="P150" i="1"/>
  <c r="G124" i="1"/>
  <c r="O117" i="1"/>
  <c r="Q117" i="1"/>
  <c r="S117" i="1" s="1"/>
  <c r="U117" i="1" s="1"/>
  <c r="E88" i="2"/>
  <c r="G48" i="1"/>
  <c r="G54" i="1"/>
  <c r="S227" i="1"/>
  <c r="U227" i="1" s="1"/>
  <c r="U226" i="1" s="1"/>
  <c r="Q226" i="1"/>
  <c r="O149" i="1"/>
  <c r="O148" i="1"/>
  <c r="Q149" i="1"/>
  <c r="S149" i="1"/>
  <c r="E90" i="2"/>
  <c r="E208" i="1"/>
  <c r="O226" i="1"/>
  <c r="K114" i="1"/>
  <c r="M114" i="1" s="1"/>
  <c r="K113" i="1"/>
  <c r="G15" i="1"/>
  <c r="G14" i="1" s="1"/>
  <c r="G21" i="1"/>
  <c r="G20" i="1" s="1"/>
  <c r="Q148" i="1"/>
  <c r="E703" i="2"/>
  <c r="E711" i="2"/>
  <c r="K87" i="1"/>
  <c r="M139" i="1"/>
  <c r="I79" i="1"/>
  <c r="K79" i="1"/>
  <c r="E517" i="2"/>
  <c r="E525" i="2"/>
  <c r="E156" i="2"/>
  <c r="E261" i="2"/>
  <c r="E355" i="2"/>
  <c r="E477" i="2"/>
  <c r="E151" i="2"/>
  <c r="E361" i="2"/>
  <c r="E354" i="2" s="1"/>
  <c r="E529" i="2"/>
  <c r="E665" i="2"/>
  <c r="K16" i="1"/>
  <c r="K15" i="1" s="1"/>
  <c r="K14" i="1" s="1"/>
  <c r="I21" i="1"/>
  <c r="I20" i="1" s="1"/>
  <c r="K43" i="1"/>
  <c r="M43" i="1" s="1"/>
  <c r="O43" i="1" s="1"/>
  <c r="Q43" i="1" s="1"/>
  <c r="I54" i="1"/>
  <c r="K56" i="1"/>
  <c r="M56" i="1" s="1"/>
  <c r="O56" i="1" s="1"/>
  <c r="Q56" i="1" s="1"/>
  <c r="S56" i="1" s="1"/>
  <c r="U56" i="1" s="1"/>
  <c r="I211" i="1"/>
  <c r="K211" i="1" s="1"/>
  <c r="M211" i="1" s="1"/>
  <c r="O211" i="1" s="1"/>
  <c r="Q211" i="1" s="1"/>
  <c r="S211" i="1" s="1"/>
  <c r="U211" i="1" s="1"/>
  <c r="K202" i="1"/>
  <c r="M16" i="1"/>
  <c r="O16" i="1" s="1"/>
  <c r="M15" i="1"/>
  <c r="M14" i="1" s="1"/>
  <c r="U184" i="1"/>
  <c r="K54" i="1"/>
  <c r="O111" i="1"/>
  <c r="Q111" i="1" s="1"/>
  <c r="S111" i="1" s="1"/>
  <c r="U111" i="1" s="1"/>
  <c r="S43" i="1"/>
  <c r="U43" i="1" s="1"/>
  <c r="O80" i="1"/>
  <c r="M79" i="1"/>
  <c r="U149" i="1"/>
  <c r="U148" i="1"/>
  <c r="S148" i="1"/>
  <c r="K214" i="1"/>
  <c r="M214" i="1" s="1"/>
  <c r="O214" i="1" s="1"/>
  <c r="Q214" i="1" s="1"/>
  <c r="S214" i="1" s="1"/>
  <c r="U214" i="1"/>
  <c r="K75" i="1"/>
  <c r="M75" i="1" s="1"/>
  <c r="I92" i="1"/>
  <c r="K97" i="1"/>
  <c r="M97" i="1" s="1"/>
  <c r="I96" i="1"/>
  <c r="K119" i="1"/>
  <c r="M119" i="1" s="1"/>
  <c r="O119" i="1" s="1"/>
  <c r="Q119" i="1" s="1"/>
  <c r="S119" i="1"/>
  <c r="U119" i="1"/>
  <c r="I194" i="1"/>
  <c r="K199" i="1"/>
  <c r="K198" i="1" s="1"/>
  <c r="I198" i="1"/>
  <c r="K219" i="1"/>
  <c r="I218" i="1"/>
  <c r="O234" i="1"/>
  <c r="Q234" i="1" s="1"/>
  <c r="S234" i="1" s="1"/>
  <c r="S232" i="1" s="1"/>
  <c r="M229" i="1"/>
  <c r="M228" i="1" s="1"/>
  <c r="S216" i="1"/>
  <c r="U216" i="1" s="1"/>
  <c r="G158" i="1"/>
  <c r="M27" i="1"/>
  <c r="O27" i="1" s="1"/>
  <c r="Q27" i="1" s="1"/>
  <c r="S27" i="1" s="1"/>
  <c r="U27" i="1" s="1"/>
  <c r="M37" i="1"/>
  <c r="O37" i="1" s="1"/>
  <c r="Q37" i="1" s="1"/>
  <c r="S37" i="1" s="1"/>
  <c r="U37" i="1" s="1"/>
  <c r="M69" i="1"/>
  <c r="O69" i="1" s="1"/>
  <c r="Q69" i="1" s="1"/>
  <c r="S69" i="1" s="1"/>
  <c r="U69" i="1"/>
  <c r="O118" i="1"/>
  <c r="Q118" i="1" s="1"/>
  <c r="S118" i="1" s="1"/>
  <c r="U118" i="1" s="1"/>
  <c r="K125" i="1"/>
  <c r="M154" i="1"/>
  <c r="O154" i="1" s="1"/>
  <c r="Q154" i="1" s="1"/>
  <c r="S154" i="1" s="1"/>
  <c r="U154" i="1" s="1"/>
  <c r="I164" i="1"/>
  <c r="K173" i="1"/>
  <c r="M173" i="1" s="1"/>
  <c r="O173" i="1" s="1"/>
  <c r="Q173" i="1" s="1"/>
  <c r="S173" i="1" s="1"/>
  <c r="U173" i="1" s="1"/>
  <c r="S226" i="1"/>
  <c r="K229" i="1"/>
  <c r="K228" i="1"/>
  <c r="K159" i="1"/>
  <c r="O232" i="1"/>
  <c r="M165" i="1"/>
  <c r="M125" i="1"/>
  <c r="M219" i="1"/>
  <c r="M199" i="1"/>
  <c r="K194" i="1"/>
  <c r="O183" i="1"/>
  <c r="K96" i="1"/>
  <c r="K92" i="1"/>
  <c r="M93" i="1"/>
  <c r="M92" i="1" s="1"/>
  <c r="Q80" i="1"/>
  <c r="O79" i="1"/>
  <c r="O93" i="1"/>
  <c r="O97" i="1"/>
  <c r="Q97" i="1" s="1"/>
  <c r="M96" i="1"/>
  <c r="Q112" i="1"/>
  <c r="M194" i="1"/>
  <c r="O165" i="1"/>
  <c r="Q165" i="1" s="1"/>
  <c r="Q232" i="1"/>
  <c r="M159" i="1"/>
  <c r="O159" i="1" s="1"/>
  <c r="O75" i="1"/>
  <c r="U234" i="1"/>
  <c r="U232" i="1" s="1"/>
  <c r="S52" i="1"/>
  <c r="U52" i="1" s="1"/>
  <c r="S112" i="1"/>
  <c r="U112" i="1" s="1"/>
  <c r="O96" i="1"/>
  <c r="Q93" i="1"/>
  <c r="O92" i="1"/>
  <c r="Q96" i="1"/>
  <c r="S97" i="1"/>
  <c r="U97" i="1" s="1"/>
  <c r="Q159" i="1"/>
  <c r="U96" i="1"/>
  <c r="S96" i="1"/>
  <c r="E70" i="2"/>
  <c r="E679" i="2"/>
  <c r="E27" i="2"/>
  <c r="E254" i="2"/>
  <c r="E253" i="2" s="1"/>
  <c r="E274" i="2"/>
  <c r="E300" i="2"/>
  <c r="E284" i="2"/>
  <c r="E214" i="2"/>
  <c r="E112" i="2"/>
  <c r="E310" i="2"/>
  <c r="E479" i="2"/>
  <c r="E672" i="2"/>
  <c r="E150" i="2"/>
  <c r="E343" i="2"/>
  <c r="E732" i="2"/>
  <c r="E668" i="2"/>
  <c r="G671" i="2"/>
  <c r="G668" i="2" s="1"/>
  <c r="I671" i="2"/>
  <c r="I672" i="2" s="1"/>
  <c r="K671" i="2"/>
  <c r="E259" i="2"/>
  <c r="F744" i="2"/>
  <c r="G195" i="2"/>
  <c r="F343" i="2"/>
  <c r="G622" i="2"/>
  <c r="F92" i="2"/>
  <c r="G178" i="2"/>
  <c r="G215" i="2"/>
  <c r="G223" i="2"/>
  <c r="G214" i="2" s="1"/>
  <c r="G264" i="2"/>
  <c r="G263" i="2" s="1"/>
  <c r="G93" i="2"/>
  <c r="G113" i="2"/>
  <c r="G237" i="2"/>
  <c r="G355" i="2"/>
  <c r="G375" i="2"/>
  <c r="G445" i="2"/>
  <c r="G517" i="2"/>
  <c r="G539" i="2"/>
  <c r="G559" i="2"/>
  <c r="G606" i="2"/>
  <c r="G605" i="2" s="1"/>
  <c r="G427" i="2"/>
  <c r="G71" i="2"/>
  <c r="F814" i="2"/>
  <c r="F772" i="2"/>
  <c r="F771" i="2"/>
  <c r="F702" i="2"/>
  <c r="F605" i="2"/>
  <c r="F538" i="2"/>
  <c r="F469" i="2"/>
  <c r="F427" i="2"/>
  <c r="F374" i="2"/>
  <c r="F236" i="2"/>
  <c r="F195" i="2"/>
  <c r="F162" i="2" s="1"/>
  <c r="F150" i="2"/>
  <c r="F101" i="2"/>
  <c r="F70" i="2"/>
  <c r="F69" i="2" s="1"/>
  <c r="F55" i="2"/>
  <c r="F54" i="2" s="1"/>
  <c r="F26" i="2"/>
  <c r="F21" i="2"/>
  <c r="F273" i="2"/>
  <c r="F723" i="2"/>
  <c r="E87" i="2"/>
  <c r="E69" i="2" s="1"/>
  <c r="E101" i="2"/>
  <c r="E516" i="2"/>
  <c r="E621" i="2"/>
  <c r="E21" i="2"/>
  <c r="E800" i="2"/>
  <c r="F87" i="2"/>
  <c r="F112" i="2"/>
  <c r="F100" i="2" s="1"/>
  <c r="F407" i="2"/>
  <c r="F621" i="2"/>
  <c r="F679" i="2"/>
  <c r="F673" i="2" s="1"/>
  <c r="I113" i="2"/>
  <c r="I539" i="2"/>
  <c r="H814" i="2"/>
  <c r="G388" i="2"/>
  <c r="G387" i="2" s="1"/>
  <c r="G600" i="2"/>
  <c r="G599" i="2"/>
  <c r="I746" i="2"/>
  <c r="K746" i="2" s="1"/>
  <c r="I752" i="2"/>
  <c r="K752" i="2"/>
  <c r="K751" i="2"/>
  <c r="G751" i="2"/>
  <c r="I787" i="2"/>
  <c r="K787" i="2" s="1"/>
  <c r="K786" i="2" s="1"/>
  <c r="G786" i="2"/>
  <c r="G772" i="2"/>
  <c r="G771" i="2"/>
  <c r="I819" i="2"/>
  <c r="K819" i="2" s="1"/>
  <c r="K818" i="2" s="1"/>
  <c r="I818" i="2"/>
  <c r="G818" i="2"/>
  <c r="G98" i="2"/>
  <c r="G92" i="2" s="1"/>
  <c r="I264" i="2"/>
  <c r="I355" i="2"/>
  <c r="I438" i="2"/>
  <c r="I437" i="2" s="1"/>
  <c r="G672" i="2"/>
  <c r="E470" i="2"/>
  <c r="E469" i="2" s="1"/>
  <c r="E753" i="2"/>
  <c r="E308" i="2"/>
  <c r="E408" i="2"/>
  <c r="E453" i="2"/>
  <c r="E444" i="2" s="1"/>
  <c r="E443" i="2" s="1"/>
  <c r="G661" i="2"/>
  <c r="I661" i="2"/>
  <c r="K661" i="2" s="1"/>
  <c r="E751" i="2"/>
  <c r="G417" i="2"/>
  <c r="G416" i="2" s="1"/>
  <c r="G680" i="2"/>
  <c r="G688" i="2"/>
  <c r="G763" i="2"/>
  <c r="G762" i="2"/>
  <c r="I440" i="2"/>
  <c r="I439" i="2"/>
  <c r="I445" i="2"/>
  <c r="I602" i="2"/>
  <c r="I789" i="2"/>
  <c r="K789" i="2"/>
  <c r="K790" i="2" s="1"/>
  <c r="G790" i="2"/>
  <c r="I799" i="2"/>
  <c r="K799" i="2" s="1"/>
  <c r="K798" i="2" s="1"/>
  <c r="K797" i="2"/>
  <c r="G798" i="2"/>
  <c r="G797" i="2" s="1"/>
  <c r="F646" i="2"/>
  <c r="F645" i="2"/>
  <c r="F598" i="2"/>
  <c r="H101" i="2"/>
  <c r="H150" i="2"/>
  <c r="H100" i="2" s="1"/>
  <c r="H253" i="2"/>
  <c r="I351" i="2"/>
  <c r="H427" i="2"/>
  <c r="H444" i="2"/>
  <c r="I375" i="2"/>
  <c r="I802" i="2"/>
  <c r="K802" i="2" s="1"/>
  <c r="K801" i="2"/>
  <c r="K800" i="2" s="1"/>
  <c r="I801" i="2"/>
  <c r="I800" i="2" s="1"/>
  <c r="G801" i="2"/>
  <c r="G800" i="2" s="1"/>
  <c r="G532" i="2"/>
  <c r="G531" i="2"/>
  <c r="I675" i="2"/>
  <c r="I674" i="2"/>
  <c r="I790" i="2"/>
  <c r="H162" i="2"/>
  <c r="I533" i="2"/>
  <c r="K533" i="2"/>
  <c r="K532" i="2"/>
  <c r="H800" i="2"/>
  <c r="H791" i="2" s="1"/>
  <c r="I693" i="2"/>
  <c r="K693" i="2"/>
  <c r="I38" i="2"/>
  <c r="K38" i="2" s="1"/>
  <c r="H284" i="2"/>
  <c r="I303" i="2"/>
  <c r="K303" i="2"/>
  <c r="H532" i="2"/>
  <c r="G392" i="2"/>
  <c r="I389" i="2"/>
  <c r="I388" i="2" s="1"/>
  <c r="K389" i="2"/>
  <c r="K388" i="2" s="1"/>
  <c r="I344" i="2"/>
  <c r="H274" i="2"/>
  <c r="H273" i="2"/>
  <c r="I237" i="2"/>
  <c r="I215" i="2"/>
  <c r="H36" i="2"/>
  <c r="H27" i="2" s="1"/>
  <c r="H26" i="2"/>
  <c r="H690" i="2"/>
  <c r="I532" i="2"/>
  <c r="G456" i="2"/>
  <c r="I456" i="2"/>
  <c r="I71" i="2"/>
  <c r="I70" i="2" s="1"/>
  <c r="I69" i="2" s="1"/>
  <c r="I768" i="2"/>
  <c r="I767" i="2"/>
  <c r="I606" i="2"/>
  <c r="I423" i="2"/>
  <c r="I417" i="2" s="1"/>
  <c r="I416" i="2" s="1"/>
  <c r="K445" i="2"/>
  <c r="K523" i="2"/>
  <c r="I522" i="2"/>
  <c r="G646" i="2"/>
  <c r="I436" i="2"/>
  <c r="G663" i="2"/>
  <c r="I763" i="2"/>
  <c r="I762" i="2" s="1"/>
  <c r="H808" i="2"/>
  <c r="E702" i="2"/>
  <c r="E282" i="2"/>
  <c r="E273" i="2"/>
  <c r="E730" i="2"/>
  <c r="F299" i="2"/>
  <c r="F354" i="2"/>
  <c r="F444" i="2"/>
  <c r="I501" i="2"/>
  <c r="K763" i="2"/>
  <c r="K762" i="2" s="1"/>
  <c r="I731" i="2"/>
  <c r="G730" i="2"/>
  <c r="I57" i="2"/>
  <c r="K57" i="2" s="1"/>
  <c r="K37" i="2"/>
  <c r="K94" i="2"/>
  <c r="K93" i="2"/>
  <c r="K92" i="2"/>
  <c r="I93" i="2"/>
  <c r="K157" i="2"/>
  <c r="I156" i="2"/>
  <c r="E538" i="2"/>
  <c r="E26" i="2"/>
  <c r="I369" i="2"/>
  <c r="K373" i="2"/>
  <c r="K369" i="2"/>
  <c r="K368" i="2" s="1"/>
  <c r="E499" i="2"/>
  <c r="E146" i="2"/>
  <c r="E645" i="2"/>
  <c r="F141" i="2"/>
  <c r="G19" i="2"/>
  <c r="G18" i="2" s="1"/>
  <c r="H516" i="2"/>
  <c r="J809" i="2"/>
  <c r="H92" i="2"/>
  <c r="H538" i="2"/>
  <c r="H605" i="2"/>
  <c r="H723" i="2"/>
  <c r="J87" i="2"/>
  <c r="J141" i="2"/>
  <c r="J592" i="2"/>
  <c r="J369" i="2"/>
  <c r="J368" i="2"/>
  <c r="G146" i="2"/>
  <c r="I149" i="2"/>
  <c r="I262" i="2"/>
  <c r="I261" i="2" s="1"/>
  <c r="G261" i="2"/>
  <c r="K255" i="2"/>
  <c r="I256" i="2"/>
  <c r="K256" i="2"/>
  <c r="G254" i="2"/>
  <c r="G253" i="2" s="1"/>
  <c r="G274" i="2"/>
  <c r="I275" i="2"/>
  <c r="I327" i="2"/>
  <c r="K327" i="2"/>
  <c r="G308" i="2"/>
  <c r="I411" i="2"/>
  <c r="E791" i="2"/>
  <c r="G142" i="2"/>
  <c r="G141" i="2"/>
  <c r="I260" i="2"/>
  <c r="G259" i="2"/>
  <c r="I283" i="2"/>
  <c r="K283" i="2" s="1"/>
  <c r="K282" i="2" s="1"/>
  <c r="G282" i="2"/>
  <c r="G300" i="2"/>
  <c r="I301" i="2"/>
  <c r="G310" i="2"/>
  <c r="I311" i="2"/>
  <c r="K311" i="2" s="1"/>
  <c r="K310" i="2" s="1"/>
  <c r="G408" i="2"/>
  <c r="G453" i="2"/>
  <c r="I471" i="2"/>
  <c r="K471" i="2"/>
  <c r="K470" i="2" s="1"/>
  <c r="I480" i="2"/>
  <c r="K480" i="2" s="1"/>
  <c r="I725" i="2"/>
  <c r="K731" i="2"/>
  <c r="K730" i="2"/>
  <c r="I730" i="2"/>
  <c r="I798" i="2"/>
  <c r="I797" i="2"/>
  <c r="K17" i="2"/>
  <c r="K16" i="2"/>
  <c r="K15" i="2"/>
  <c r="I16" i="2"/>
  <c r="I15" i="2" s="1"/>
  <c r="K89" i="2"/>
  <c r="K88" i="2"/>
  <c r="K87" i="2"/>
  <c r="I88" i="2"/>
  <c r="K153" i="2"/>
  <c r="K151" i="2"/>
  <c r="K197" i="2"/>
  <c r="K196" i="2" s="1"/>
  <c r="K195" i="2" s="1"/>
  <c r="I196" i="2"/>
  <c r="I195" i="2" s="1"/>
  <c r="I199" i="2"/>
  <c r="K200" i="2"/>
  <c r="K199" i="2" s="1"/>
  <c r="K209" i="2"/>
  <c r="K208" i="2"/>
  <c r="K207" i="2" s="1"/>
  <c r="K206" i="2" s="1"/>
  <c r="I208" i="2"/>
  <c r="I207" i="2"/>
  <c r="K245" i="2"/>
  <c r="K244" i="2" s="1"/>
  <c r="I244" i="2"/>
  <c r="K307" i="2"/>
  <c r="K306" i="2"/>
  <c r="I306" i="2"/>
  <c r="K422" i="2"/>
  <c r="K421" i="2"/>
  <c r="K420" i="2"/>
  <c r="K417" i="2" s="1"/>
  <c r="I421" i="2"/>
  <c r="I420" i="2"/>
  <c r="K452" i="2"/>
  <c r="K451" i="2"/>
  <c r="I451" i="2"/>
  <c r="K596" i="2"/>
  <c r="K595" i="2"/>
  <c r="I595" i="2"/>
  <c r="K623" i="2"/>
  <c r="K622" i="2" s="1"/>
  <c r="I622" i="2"/>
  <c r="K644" i="2"/>
  <c r="K643" i="2"/>
  <c r="I643" i="2"/>
  <c r="K704" i="2"/>
  <c r="K703" i="2" s="1"/>
  <c r="I703" i="2"/>
  <c r="K794" i="2"/>
  <c r="K793" i="2" s="1"/>
  <c r="I793" i="2"/>
  <c r="I751" i="2"/>
  <c r="E206" i="2"/>
  <c r="E417" i="2"/>
  <c r="E142" i="2"/>
  <c r="E141" i="2"/>
  <c r="F214" i="2"/>
  <c r="F808" i="2"/>
  <c r="G87" i="2"/>
  <c r="G69" i="2" s="1"/>
  <c r="K103" i="2"/>
  <c r="K102" i="2" s="1"/>
  <c r="K101" i="2" s="1"/>
  <c r="I102" i="2"/>
  <c r="K111" i="2"/>
  <c r="K110" i="2" s="1"/>
  <c r="K109" i="2"/>
  <c r="I110" i="2"/>
  <c r="I109" i="2"/>
  <c r="K205" i="2"/>
  <c r="K204" i="2"/>
  <c r="K203" i="2"/>
  <c r="K202" i="2" s="1"/>
  <c r="I204" i="2"/>
  <c r="I203" i="2"/>
  <c r="I202" i="2"/>
  <c r="K222" i="2"/>
  <c r="K221" i="2"/>
  <c r="I221" i="2"/>
  <c r="K272" i="2"/>
  <c r="K271" i="2" s="1"/>
  <c r="I271" i="2"/>
  <c r="I263" i="2" s="1"/>
  <c r="K419" i="2"/>
  <c r="K418" i="2"/>
  <c r="I418" i="2"/>
  <c r="K429" i="2"/>
  <c r="K428" i="2" s="1"/>
  <c r="K427" i="2" s="1"/>
  <c r="I428" i="2"/>
  <c r="K530" i="2"/>
  <c r="K529" i="2"/>
  <c r="I529" i="2"/>
  <c r="K689" i="2"/>
  <c r="K688" i="2" s="1"/>
  <c r="I688" i="2"/>
  <c r="K774" i="2"/>
  <c r="K773" i="2" s="1"/>
  <c r="I773" i="2"/>
  <c r="K805" i="2"/>
  <c r="K804" i="2"/>
  <c r="I804" i="2"/>
  <c r="K426" i="2"/>
  <c r="K501" i="2"/>
  <c r="K592" i="2"/>
  <c r="K606" i="2"/>
  <c r="H416" i="2"/>
  <c r="F206" i="2"/>
  <c r="F417" i="2"/>
  <c r="F416" i="2" s="1"/>
  <c r="G24" i="2"/>
  <c r="G21" i="2" s="1"/>
  <c r="G14" i="2" s="1"/>
  <c r="G102" i="2"/>
  <c r="G101" i="2" s="1"/>
  <c r="G110" i="2"/>
  <c r="G109" i="2"/>
  <c r="G702" i="2"/>
  <c r="I19" i="2"/>
  <c r="I18" i="2"/>
  <c r="I22" i="2"/>
  <c r="I52" i="2"/>
  <c r="I51" i="2"/>
  <c r="I50" i="2" s="1"/>
  <c r="I90" i="2"/>
  <c r="I107" i="2"/>
  <c r="I101" i="2" s="1"/>
  <c r="I119" i="2"/>
  <c r="I139" i="2"/>
  <c r="I154" i="2"/>
  <c r="I176" i="2"/>
  <c r="I193" i="2"/>
  <c r="I211" i="2"/>
  <c r="I210" i="2"/>
  <c r="I206" i="2"/>
  <c r="I269" i="2"/>
  <c r="I349" i="2"/>
  <c r="I343" i="2" s="1"/>
  <c r="I368" i="2"/>
  <c r="I426" i="2"/>
  <c r="I430" i="2"/>
  <c r="I427" i="2" s="1"/>
  <c r="I433" i="2"/>
  <c r="I432" i="2"/>
  <c r="I497" i="2"/>
  <c r="I527" i="2"/>
  <c r="I593" i="2"/>
  <c r="I592" i="2"/>
  <c r="I600" i="2"/>
  <c r="I599" i="2"/>
  <c r="I627" i="2"/>
  <c r="I686" i="2"/>
  <c r="I709" i="2"/>
  <c r="I806" i="2"/>
  <c r="I821" i="2"/>
  <c r="I820" i="2"/>
  <c r="I663" i="2"/>
  <c r="I98" i="2"/>
  <c r="I92" i="2" s="1"/>
  <c r="H206" i="2"/>
  <c r="I517" i="2"/>
  <c r="J21" i="2"/>
  <c r="I809" i="2"/>
  <c r="J427" i="2"/>
  <c r="J814" i="2"/>
  <c r="G246" i="2"/>
  <c r="I287" i="2"/>
  <c r="G284" i="2"/>
  <c r="I79" i="2"/>
  <c r="I77" i="2" s="1"/>
  <c r="G77" i="2"/>
  <c r="G70" i="2"/>
  <c r="I363" i="2"/>
  <c r="K363" i="2" s="1"/>
  <c r="K361" i="2" s="1"/>
  <c r="K354" i="2" s="1"/>
  <c r="G361" i="2"/>
  <c r="G354" i="2"/>
  <c r="I383" i="2"/>
  <c r="K383" i="2" s="1"/>
  <c r="G380" i="2"/>
  <c r="G374" i="2"/>
  <c r="G164" i="2"/>
  <c r="G163" i="2" s="1"/>
  <c r="G162" i="2" s="1"/>
  <c r="G732" i="2"/>
  <c r="K631" i="2"/>
  <c r="I694" i="2"/>
  <c r="K694" i="2" s="1"/>
  <c r="K690" i="2" s="1"/>
  <c r="G690" i="2"/>
  <c r="G679" i="2"/>
  <c r="I757" i="2"/>
  <c r="K757" i="2"/>
  <c r="G753" i="2"/>
  <c r="I124" i="2"/>
  <c r="K124" i="2" s="1"/>
  <c r="I508" i="2"/>
  <c r="I506" i="2" s="1"/>
  <c r="G506" i="2"/>
  <c r="G499" i="2"/>
  <c r="K313" i="2"/>
  <c r="K326" i="2"/>
  <c r="K472" i="2"/>
  <c r="K482" i="2"/>
  <c r="K735" i="2"/>
  <c r="K756" i="2"/>
  <c r="I753" i="2"/>
  <c r="K362" i="2"/>
  <c r="K381" i="2"/>
  <c r="K380" i="2" s="1"/>
  <c r="K777" i="2"/>
  <c r="K775" i="2"/>
  <c r="I775" i="2"/>
  <c r="K648" i="2"/>
  <c r="K612" i="2"/>
  <c r="I559" i="2"/>
  <c r="I612" i="2"/>
  <c r="I605" i="2"/>
  <c r="K559" i="2"/>
  <c r="J808" i="2"/>
  <c r="J417" i="2"/>
  <c r="J416" i="2" s="1"/>
  <c r="H14" i="2"/>
  <c r="K287" i="2"/>
  <c r="I284" i="2"/>
  <c r="K123" i="2"/>
  <c r="K247" i="2"/>
  <c r="K246" i="2"/>
  <c r="I246" i="2"/>
  <c r="K225" i="2"/>
  <c r="K223" i="2"/>
  <c r="I223" i="2"/>
  <c r="I214" i="2"/>
  <c r="J14" i="2"/>
  <c r="K58" i="2"/>
  <c r="K43" i="2"/>
  <c r="K79" i="2"/>
  <c r="K77" i="2" s="1"/>
  <c r="I164" i="2"/>
  <c r="K166" i="2"/>
  <c r="I178" i="2"/>
  <c r="K180" i="2"/>
  <c r="K178" i="2"/>
  <c r="F14" i="2"/>
  <c r="J800" i="2"/>
  <c r="J791" i="2" s="1"/>
  <c r="K768" i="2"/>
  <c r="K767" i="2"/>
  <c r="K605" i="2"/>
  <c r="J531" i="2"/>
  <c r="J499" i="2"/>
  <c r="K215" i="2"/>
  <c r="K214" i="2" s="1"/>
  <c r="K156" i="2"/>
  <c r="K28" i="2"/>
  <c r="J27" i="2"/>
  <c r="K240" i="2"/>
  <c r="K237" i="2"/>
  <c r="J237" i="2"/>
  <c r="J284" i="2"/>
  <c r="K378" i="2"/>
  <c r="K375" i="2"/>
  <c r="K374" i="2" s="1"/>
  <c r="J375" i="2"/>
  <c r="K385" i="2"/>
  <c r="J380" i="2"/>
  <c r="J374" i="2" s="1"/>
  <c r="K462" i="2"/>
  <c r="K456" i="2"/>
  <c r="J456" i="2"/>
  <c r="J444" i="2"/>
  <c r="J443" i="2" s="1"/>
  <c r="K681" i="2"/>
  <c r="J680" i="2"/>
  <c r="J679" i="2"/>
  <c r="J724" i="2"/>
  <c r="J723" i="2"/>
  <c r="K754" i="2"/>
  <c r="K753" i="2" s="1"/>
  <c r="J753" i="2"/>
  <c r="J56" i="2"/>
  <c r="K73" i="2"/>
  <c r="K71" i="2" s="1"/>
  <c r="K70" i="2" s="1"/>
  <c r="K69" i="2" s="1"/>
  <c r="J71" i="2"/>
  <c r="J70" i="2"/>
  <c r="J69" i="2"/>
  <c r="K125" i="2"/>
  <c r="J121" i="2"/>
  <c r="K164" i="2"/>
  <c r="J211" i="2"/>
  <c r="J210" i="2"/>
  <c r="J215" i="2"/>
  <c r="J214" i="2" s="1"/>
  <c r="J213" i="2" s="1"/>
  <c r="J254" i="2"/>
  <c r="J253" i="2"/>
  <c r="K264" i="2"/>
  <c r="K263" i="2" s="1"/>
  <c r="J308" i="2"/>
  <c r="J310" i="2"/>
  <c r="K347" i="2"/>
  <c r="K344" i="2" s="1"/>
  <c r="K343" i="2" s="1"/>
  <c r="J344" i="2"/>
  <c r="J343" i="2"/>
  <c r="J388" i="2"/>
  <c r="J392" i="2"/>
  <c r="K414" i="2"/>
  <c r="J410" i="2"/>
  <c r="J407" i="2" s="1"/>
  <c r="K490" i="2"/>
  <c r="J479" i="2"/>
  <c r="J469" i="2"/>
  <c r="K524" i="2"/>
  <c r="K522" i="2"/>
  <c r="J522" i="2"/>
  <c r="J745" i="2"/>
  <c r="J744" i="2"/>
  <c r="K519" i="2"/>
  <c r="K517" i="2"/>
  <c r="J517" i="2"/>
  <c r="K670" i="2"/>
  <c r="K668" i="2" s="1"/>
  <c r="J668" i="2"/>
  <c r="J645" i="2"/>
  <c r="J598" i="2" s="1"/>
  <c r="J672" i="2"/>
  <c r="K675" i="2"/>
  <c r="K674" i="2"/>
  <c r="K705" i="2"/>
  <c r="J703" i="2"/>
  <c r="J702" i="2" s="1"/>
  <c r="K163" i="2"/>
  <c r="K162" i="2" s="1"/>
  <c r="K455" i="2"/>
  <c r="K453" i="2" s="1"/>
  <c r="I453" i="2"/>
  <c r="I444" i="2"/>
  <c r="K301" i="2"/>
  <c r="K300" i="2"/>
  <c r="I300" i="2"/>
  <c r="K309" i="2"/>
  <c r="K308" i="2" s="1"/>
  <c r="I308" i="2"/>
  <c r="K262" i="2"/>
  <c r="K261" i="2" s="1"/>
  <c r="I150" i="2"/>
  <c r="I87" i="2"/>
  <c r="K725" i="2"/>
  <c r="K409" i="2"/>
  <c r="K408" i="2"/>
  <c r="I408" i="2"/>
  <c r="I282" i="2"/>
  <c r="K260" i="2"/>
  <c r="K259" i="2" s="1"/>
  <c r="I259" i="2"/>
  <c r="K145" i="2"/>
  <c r="K142" i="2"/>
  <c r="K141" i="2" s="1"/>
  <c r="K275" i="2"/>
  <c r="I274" i="2"/>
  <c r="K149" i="2"/>
  <c r="K146" i="2"/>
  <c r="I146" i="2"/>
  <c r="J516" i="2"/>
  <c r="I163" i="2"/>
  <c r="J387" i="2"/>
  <c r="K672" i="2"/>
  <c r="I14" i="2" l="1"/>
  <c r="F213" i="2"/>
  <c r="Q164" i="1"/>
  <c r="S165" i="1"/>
  <c r="I21" i="2"/>
  <c r="I162" i="2"/>
  <c r="K772" i="2"/>
  <c r="K771" i="2" s="1"/>
  <c r="J673" i="2"/>
  <c r="J823" i="2" s="1"/>
  <c r="K36" i="2"/>
  <c r="K444" i="2"/>
  <c r="G516" i="2"/>
  <c r="Q92" i="1"/>
  <c r="S93" i="1"/>
  <c r="M87" i="1"/>
  <c r="E207" i="1"/>
  <c r="K136" i="1"/>
  <c r="M137" i="1"/>
  <c r="I13" i="2"/>
  <c r="G12" i="2"/>
  <c r="G11" i="2" s="1"/>
  <c r="G10" i="2" s="1"/>
  <c r="I39" i="2"/>
  <c r="K39" i="2" s="1"/>
  <c r="G36" i="2"/>
  <c r="I161" i="2"/>
  <c r="G160" i="2"/>
  <c r="G159" i="2" s="1"/>
  <c r="G100" i="2" s="1"/>
  <c r="I690" i="2"/>
  <c r="I361" i="2"/>
  <c r="I354" i="2" s="1"/>
  <c r="I310" i="2"/>
  <c r="I44" i="2"/>
  <c r="I24" i="2"/>
  <c r="Q79" i="1"/>
  <c r="S80" i="1"/>
  <c r="O125" i="1"/>
  <c r="O171" i="1"/>
  <c r="I95" i="1"/>
  <c r="G94" i="1"/>
  <c r="I134" i="1"/>
  <c r="G133" i="1"/>
  <c r="K172" i="1"/>
  <c r="I196" i="1"/>
  <c r="K197" i="1"/>
  <c r="K508" i="2"/>
  <c r="K506" i="2" s="1"/>
  <c r="I732" i="2"/>
  <c r="I470" i="2"/>
  <c r="G121" i="2"/>
  <c r="G112" i="2" s="1"/>
  <c r="G56" i="2"/>
  <c r="G55" i="2" s="1"/>
  <c r="G54" i="2" s="1"/>
  <c r="I668" i="2"/>
  <c r="O164" i="1"/>
  <c r="M164" i="1"/>
  <c r="O195" i="1"/>
  <c r="O55" i="1"/>
  <c r="G150" i="1"/>
  <c r="G115" i="1"/>
  <c r="G101" i="1"/>
  <c r="G196" i="1"/>
  <c r="I19" i="1"/>
  <c r="G18" i="1"/>
  <c r="G17" i="1" s="1"/>
  <c r="K140" i="1"/>
  <c r="I138" i="1"/>
  <c r="I151" i="1"/>
  <c r="K153" i="1"/>
  <c r="K160" i="1"/>
  <c r="I158" i="1"/>
  <c r="S177" i="1"/>
  <c r="Q171" i="1"/>
  <c r="G191" i="1"/>
  <c r="I192" i="1"/>
  <c r="G747" i="2"/>
  <c r="E745" i="2"/>
  <c r="E744" i="2" s="1"/>
  <c r="O219" i="1"/>
  <c r="G35" i="1"/>
  <c r="I36" i="1"/>
  <c r="M221" i="1"/>
  <c r="O221" i="1" s="1"/>
  <c r="Q221" i="1" s="1"/>
  <c r="S221" i="1" s="1"/>
  <c r="U221" i="1" s="1"/>
  <c r="K218" i="1"/>
  <c r="H231" i="1"/>
  <c r="H235" i="1" s="1"/>
  <c r="I638" i="2"/>
  <c r="G629" i="2"/>
  <c r="G621" i="2" s="1"/>
  <c r="I121" i="2"/>
  <c r="I112" i="2" s="1"/>
  <c r="G444" i="2"/>
  <c r="S159" i="1"/>
  <c r="Q16" i="1"/>
  <c r="O15" i="1"/>
  <c r="O14" i="1" s="1"/>
  <c r="G208" i="1"/>
  <c r="I209" i="1"/>
  <c r="I76" i="1"/>
  <c r="G74" i="1"/>
  <c r="G73" i="1" s="1"/>
  <c r="I115" i="1"/>
  <c r="K40" i="1"/>
  <c r="K39" i="1" s="1"/>
  <c r="M42" i="1"/>
  <c r="G61" i="2"/>
  <c r="I61" i="2" s="1"/>
  <c r="K61" i="2" s="1"/>
  <c r="K56" i="2" s="1"/>
  <c r="E56" i="2"/>
  <c r="E55" i="2" s="1"/>
  <c r="E54" i="2" s="1"/>
  <c r="K411" i="2"/>
  <c r="I142" i="2"/>
  <c r="I141" i="2" s="1"/>
  <c r="I254" i="2"/>
  <c r="I253" i="2" s="1"/>
  <c r="I380" i="2"/>
  <c r="I374" i="2" s="1"/>
  <c r="G470" i="2"/>
  <c r="I36" i="2"/>
  <c r="I786" i="2"/>
  <c r="I772" i="2" s="1"/>
  <c r="I771" i="2" s="1"/>
  <c r="I28" i="2"/>
  <c r="I65" i="2"/>
  <c r="K438" i="2"/>
  <c r="K437" i="2" s="1"/>
  <c r="K436" i="2" s="1"/>
  <c r="K416" i="2" s="1"/>
  <c r="G28" i="2"/>
  <c r="G27" i="2" s="1"/>
  <c r="G26" i="2" s="1"/>
  <c r="Q75" i="1"/>
  <c r="Q183" i="1"/>
  <c r="M198" i="1"/>
  <c r="O199" i="1"/>
  <c r="O139" i="1"/>
  <c r="K116" i="1"/>
  <c r="O229" i="1"/>
  <c r="O228" i="1" s="1"/>
  <c r="Q230" i="1"/>
  <c r="G213" i="1"/>
  <c r="E212" i="1"/>
  <c r="G62" i="1"/>
  <c r="I63" i="1"/>
  <c r="I72" i="1"/>
  <c r="G70" i="1"/>
  <c r="I102" i="1"/>
  <c r="K103" i="1"/>
  <c r="M127" i="1"/>
  <c r="O127" i="1" s="1"/>
  <c r="Q127" i="1" s="1"/>
  <c r="S127" i="1" s="1"/>
  <c r="U127" i="1" s="1"/>
  <c r="K124" i="1"/>
  <c r="K185" i="1"/>
  <c r="I182" i="1"/>
  <c r="G328" i="2"/>
  <c r="E324" i="2"/>
  <c r="E299" i="2" s="1"/>
  <c r="I478" i="2"/>
  <c r="G477" i="2"/>
  <c r="M202" i="1"/>
  <c r="I25" i="1"/>
  <c r="G24" i="1"/>
  <c r="G23" i="1" s="1"/>
  <c r="G50" i="1"/>
  <c r="I51" i="1"/>
  <c r="I66" i="1"/>
  <c r="K67" i="1"/>
  <c r="I68" i="1"/>
  <c r="K68" i="1" s="1"/>
  <c r="M68" i="1" s="1"/>
  <c r="O68" i="1" s="1"/>
  <c r="Q68" i="1" s="1"/>
  <c r="S68" i="1" s="1"/>
  <c r="U68" i="1" s="1"/>
  <c r="G66" i="1"/>
  <c r="I223" i="1"/>
  <c r="K224" i="1"/>
  <c r="P101" i="1"/>
  <c r="P231" i="1" s="1"/>
  <c r="P235" i="1" s="1"/>
  <c r="R101" i="1"/>
  <c r="R144" i="1"/>
  <c r="I481" i="2"/>
  <c r="G479" i="2"/>
  <c r="G728" i="2"/>
  <c r="I728" i="2" s="1"/>
  <c r="E724" i="2"/>
  <c r="E723" i="2" s="1"/>
  <c r="I393" i="2"/>
  <c r="H392" i="2"/>
  <c r="H387" i="2" s="1"/>
  <c r="I406" i="2"/>
  <c r="H405" i="2"/>
  <c r="G47" i="1"/>
  <c r="F190" i="1"/>
  <c r="F231" i="1" s="1"/>
  <c r="F235" i="1" s="1"/>
  <c r="M22" i="1"/>
  <c r="K21" i="1"/>
  <c r="K20" i="1" s="1"/>
  <c r="I58" i="1"/>
  <c r="G57" i="1"/>
  <c r="I83" i="1"/>
  <c r="G82" i="1"/>
  <c r="G81" i="1" s="1"/>
  <c r="K88" i="1"/>
  <c r="M88" i="1" s="1"/>
  <c r="O88" i="1" s="1"/>
  <c r="Q88" i="1" s="1"/>
  <c r="S88" i="1" s="1"/>
  <c r="U88" i="1" s="1"/>
  <c r="I86" i="1"/>
  <c r="I99" i="1"/>
  <c r="G98" i="1"/>
  <c r="K65" i="1"/>
  <c r="I64" i="1"/>
  <c r="J47" i="1"/>
  <c r="J231" i="1" s="1"/>
  <c r="J235" i="1" s="1"/>
  <c r="J61" i="1"/>
  <c r="G412" i="2"/>
  <c r="E410" i="2"/>
  <c r="E407" i="2" s="1"/>
  <c r="I68" i="2"/>
  <c r="K68" i="2" s="1"/>
  <c r="K65" i="2" s="1"/>
  <c r="G65" i="2"/>
  <c r="G203" i="1"/>
  <c r="E200" i="1"/>
  <c r="E190" i="1" s="1"/>
  <c r="I40" i="1"/>
  <c r="I39" i="1" s="1"/>
  <c r="K49" i="1"/>
  <c r="I48" i="1"/>
  <c r="M71" i="1"/>
  <c r="I91" i="1"/>
  <c r="G90" i="1"/>
  <c r="K110" i="1"/>
  <c r="I109" i="1"/>
  <c r="K147" i="1"/>
  <c r="I145" i="1"/>
  <c r="I144" i="1" s="1"/>
  <c r="I174" i="1"/>
  <c r="K174" i="1" s="1"/>
  <c r="M174" i="1" s="1"/>
  <c r="O174" i="1" s="1"/>
  <c r="Q174" i="1" s="1"/>
  <c r="S174" i="1" s="1"/>
  <c r="U174" i="1" s="1"/>
  <c r="G171" i="1"/>
  <c r="N190" i="1"/>
  <c r="N231" i="1" s="1"/>
  <c r="N235" i="1" s="1"/>
  <c r="N23" i="1"/>
  <c r="I35" i="2"/>
  <c r="G34" i="2"/>
  <c r="O114" i="1"/>
  <c r="M113" i="1"/>
  <c r="E89" i="1"/>
  <c r="F101" i="1"/>
  <c r="F144" i="1"/>
  <c r="G164" i="1"/>
  <c r="I124" i="1"/>
  <c r="I206" i="1"/>
  <c r="G205" i="1"/>
  <c r="E195" i="2"/>
  <c r="I281" i="2"/>
  <c r="G280" i="2"/>
  <c r="G273" i="2" s="1"/>
  <c r="H61" i="1"/>
  <c r="H81" i="1"/>
  <c r="J23" i="1"/>
  <c r="N81" i="1"/>
  <c r="R150" i="1"/>
  <c r="R207" i="1"/>
  <c r="T47" i="1"/>
  <c r="T61" i="1"/>
  <c r="T190" i="1"/>
  <c r="F253" i="2"/>
  <c r="F592" i="2"/>
  <c r="F443" i="2" s="1"/>
  <c r="F823" i="2" s="1"/>
  <c r="I243" i="2"/>
  <c r="G242" i="2"/>
  <c r="G236" i="2" s="1"/>
  <c r="I502" i="2"/>
  <c r="I526" i="2"/>
  <c r="G525" i="2"/>
  <c r="I547" i="2"/>
  <c r="G545" i="2"/>
  <c r="G538" i="2" s="1"/>
  <c r="H469" i="2"/>
  <c r="H443" i="2" s="1"/>
  <c r="J81" i="1"/>
  <c r="L81" i="1"/>
  <c r="L231" i="1" s="1"/>
  <c r="L235" i="1" s="1"/>
  <c r="N61" i="1"/>
  <c r="N144" i="1"/>
  <c r="T89" i="1"/>
  <c r="T150" i="1"/>
  <c r="E163" i="2"/>
  <c r="E162" i="2" s="1"/>
  <c r="E236" i="2"/>
  <c r="K599" i="2"/>
  <c r="I816" i="2"/>
  <c r="G815" i="2"/>
  <c r="G814" i="2" s="1"/>
  <c r="G808" i="2" s="1"/>
  <c r="K659" i="2"/>
  <c r="K539" i="2"/>
  <c r="I667" i="2"/>
  <c r="G665" i="2"/>
  <c r="G645" i="2" s="1"/>
  <c r="I796" i="2"/>
  <c r="G795" i="2"/>
  <c r="G792" i="2" s="1"/>
  <c r="G791" i="2" s="1"/>
  <c r="I719" i="2"/>
  <c r="H70" i="2"/>
  <c r="H214" i="2"/>
  <c r="H213" i="2" s="1"/>
  <c r="I537" i="2"/>
  <c r="H536" i="2"/>
  <c r="H531" i="2" s="1"/>
  <c r="H310" i="2"/>
  <c r="H299" i="2" s="1"/>
  <c r="H500" i="2"/>
  <c r="H499" i="2" s="1"/>
  <c r="H646" i="2"/>
  <c r="H645" i="2" s="1"/>
  <c r="H598" i="2" s="1"/>
  <c r="I660" i="2"/>
  <c r="H680" i="2"/>
  <c r="H679" i="2" s="1"/>
  <c r="I683" i="2"/>
  <c r="J101" i="2"/>
  <c r="J100" i="2" s="1"/>
  <c r="H87" i="2"/>
  <c r="H592" i="2"/>
  <c r="H264" i="2"/>
  <c r="H263" i="2" s="1"/>
  <c r="H344" i="2"/>
  <c r="H343" i="2" s="1"/>
  <c r="H374" i="2"/>
  <c r="H711" i="2"/>
  <c r="H702" i="2" s="1"/>
  <c r="K55" i="2" l="1"/>
  <c r="K54" i="2" s="1"/>
  <c r="K646" i="2"/>
  <c r="K645" i="2" s="1"/>
  <c r="E213" i="2"/>
  <c r="K683" i="2"/>
  <c r="K680" i="2" s="1"/>
  <c r="K679" i="2" s="1"/>
  <c r="I680" i="2"/>
  <c r="I679" i="2" s="1"/>
  <c r="K796" i="2"/>
  <c r="K795" i="2" s="1"/>
  <c r="K792" i="2" s="1"/>
  <c r="K791" i="2" s="1"/>
  <c r="I795" i="2"/>
  <c r="I792" i="2" s="1"/>
  <c r="I791" i="2" s="1"/>
  <c r="K526" i="2"/>
  <c r="K525" i="2" s="1"/>
  <c r="K516" i="2" s="1"/>
  <c r="I525" i="2"/>
  <c r="I516" i="2" s="1"/>
  <c r="K281" i="2"/>
  <c r="K280" i="2" s="1"/>
  <c r="K273" i="2" s="1"/>
  <c r="I280" i="2"/>
  <c r="I273" i="2" s="1"/>
  <c r="M110" i="1"/>
  <c r="K109" i="1"/>
  <c r="O71" i="1"/>
  <c r="I98" i="1"/>
  <c r="K99" i="1"/>
  <c r="M21" i="1"/>
  <c r="M20" i="1" s="1"/>
  <c r="O22" i="1"/>
  <c r="K728" i="2"/>
  <c r="K724" i="2" s="1"/>
  <c r="K723" i="2" s="1"/>
  <c r="I724" i="2"/>
  <c r="I723" i="2" s="1"/>
  <c r="K102" i="1"/>
  <c r="M103" i="1"/>
  <c r="Q229" i="1"/>
  <c r="Q228" i="1" s="1"/>
  <c r="S230" i="1"/>
  <c r="S183" i="1"/>
  <c r="Q219" i="1"/>
  <c r="O218" i="1"/>
  <c r="I171" i="1"/>
  <c r="I150" i="1" s="1"/>
  <c r="K660" i="2"/>
  <c r="I646" i="2"/>
  <c r="K719" i="2"/>
  <c r="K711" i="2" s="1"/>
  <c r="K702" i="2" s="1"/>
  <c r="I711" i="2"/>
  <c r="I702" i="2" s="1"/>
  <c r="K667" i="2"/>
  <c r="K665" i="2" s="1"/>
  <c r="I665" i="2"/>
  <c r="K816" i="2"/>
  <c r="K815" i="2" s="1"/>
  <c r="K814" i="2" s="1"/>
  <c r="K808" i="2" s="1"/>
  <c r="I815" i="2"/>
  <c r="I814" i="2" s="1"/>
  <c r="I808" i="2" s="1"/>
  <c r="I545" i="2"/>
  <c r="I538" i="2" s="1"/>
  <c r="K547" i="2"/>
  <c r="K545" i="2" s="1"/>
  <c r="T231" i="1"/>
  <c r="T235" i="1" s="1"/>
  <c r="Q114" i="1"/>
  <c r="O113" i="1"/>
  <c r="K145" i="1"/>
  <c r="K144" i="1" s="1"/>
  <c r="M147" i="1"/>
  <c r="K91" i="1"/>
  <c r="I90" i="1"/>
  <c r="M49" i="1"/>
  <c r="K48" i="1"/>
  <c r="M65" i="1"/>
  <c r="K64" i="1"/>
  <c r="I57" i="1"/>
  <c r="K58" i="1"/>
  <c r="K393" i="2"/>
  <c r="K392" i="2" s="1"/>
  <c r="I392" i="2"/>
  <c r="I387" i="2" s="1"/>
  <c r="K51" i="1"/>
  <c r="I50" i="1"/>
  <c r="I47" i="1" s="1"/>
  <c r="K115" i="1"/>
  <c r="M116" i="1"/>
  <c r="O198" i="1"/>
  <c r="Q199" i="1"/>
  <c r="G469" i="2"/>
  <c r="G443" i="2" s="1"/>
  <c r="O42" i="1"/>
  <c r="M40" i="1"/>
  <c r="M39" i="1" s="1"/>
  <c r="K76" i="1"/>
  <c r="I74" i="1"/>
  <c r="I73" i="1" s="1"/>
  <c r="S16" i="1"/>
  <c r="Q15" i="1"/>
  <c r="Q14" i="1" s="1"/>
  <c r="G598" i="2"/>
  <c r="M153" i="1"/>
  <c r="K151" i="1"/>
  <c r="K196" i="1"/>
  <c r="M197" i="1"/>
  <c r="O137" i="1"/>
  <c r="M136" i="1"/>
  <c r="M86" i="1"/>
  <c r="O87" i="1"/>
  <c r="K537" i="2"/>
  <c r="K536" i="2" s="1"/>
  <c r="K531" i="2" s="1"/>
  <c r="I536" i="2"/>
  <c r="I531" i="2" s="1"/>
  <c r="K538" i="2"/>
  <c r="K243" i="2"/>
  <c r="K242" i="2" s="1"/>
  <c r="K236" i="2" s="1"/>
  <c r="I242" i="2"/>
  <c r="I236" i="2" s="1"/>
  <c r="K206" i="1"/>
  <c r="I205" i="1"/>
  <c r="E673" i="2"/>
  <c r="K481" i="2"/>
  <c r="K479" i="2" s="1"/>
  <c r="I479" i="2"/>
  <c r="M224" i="1"/>
  <c r="K223" i="1"/>
  <c r="O202" i="1"/>
  <c r="I328" i="2"/>
  <c r="G324" i="2"/>
  <c r="G299" i="2" s="1"/>
  <c r="G213" i="2" s="1"/>
  <c r="I70" i="1"/>
  <c r="K72" i="1"/>
  <c r="I213" i="1"/>
  <c r="G212" i="1"/>
  <c r="G207" i="1" s="1"/>
  <c r="G231" i="1" s="1"/>
  <c r="G235" i="1" s="1"/>
  <c r="K209" i="1"/>
  <c r="I208" i="1"/>
  <c r="K638" i="2"/>
  <c r="K629" i="2" s="1"/>
  <c r="K621" i="2" s="1"/>
  <c r="K598" i="2" s="1"/>
  <c r="I629" i="2"/>
  <c r="I621" i="2" s="1"/>
  <c r="I35" i="1"/>
  <c r="K36" i="1"/>
  <c r="M218" i="1"/>
  <c r="I747" i="2"/>
  <c r="G745" i="2"/>
  <c r="G744" i="2" s="1"/>
  <c r="U177" i="1"/>
  <c r="U171" i="1" s="1"/>
  <c r="S171" i="1"/>
  <c r="K19" i="1"/>
  <c r="I18" i="1"/>
  <c r="I17" i="1" s="1"/>
  <c r="O194" i="1"/>
  <c r="Q195" i="1"/>
  <c r="K134" i="1"/>
  <c r="I133" i="1"/>
  <c r="I101" i="1" s="1"/>
  <c r="M124" i="1"/>
  <c r="K35" i="2"/>
  <c r="K34" i="2" s="1"/>
  <c r="K27" i="2" s="1"/>
  <c r="I34" i="2"/>
  <c r="I27" i="2" s="1"/>
  <c r="I26" i="2" s="1"/>
  <c r="K83" i="1"/>
  <c r="I82" i="1"/>
  <c r="I81" i="1" s="1"/>
  <c r="I405" i="2"/>
  <c r="K406" i="2"/>
  <c r="K405" i="2" s="1"/>
  <c r="K66" i="1"/>
  <c r="M67" i="1"/>
  <c r="K63" i="1"/>
  <c r="I62" i="1"/>
  <c r="I61" i="1" s="1"/>
  <c r="Q139" i="1"/>
  <c r="I191" i="1"/>
  <c r="K192" i="1"/>
  <c r="O124" i="1"/>
  <c r="Q125" i="1"/>
  <c r="I41" i="2"/>
  <c r="I40" i="2" s="1"/>
  <c r="K44" i="2"/>
  <c r="K41" i="2" s="1"/>
  <c r="K40" i="2" s="1"/>
  <c r="E231" i="1"/>
  <c r="E235" i="1" s="1"/>
  <c r="U93" i="1"/>
  <c r="U92" i="1" s="1"/>
  <c r="S92" i="1"/>
  <c r="H673" i="2"/>
  <c r="H69" i="2"/>
  <c r="K502" i="2"/>
  <c r="K500" i="2" s="1"/>
  <c r="K499" i="2" s="1"/>
  <c r="I500" i="2"/>
  <c r="I499" i="2" s="1"/>
  <c r="R231" i="1"/>
  <c r="R235" i="1" s="1"/>
  <c r="G89" i="1"/>
  <c r="I203" i="1"/>
  <c r="G200" i="1"/>
  <c r="G190" i="1" s="1"/>
  <c r="I412" i="2"/>
  <c r="G410" i="2"/>
  <c r="G407" i="2" s="1"/>
  <c r="G724" i="2"/>
  <c r="G723" i="2" s="1"/>
  <c r="G673" i="2" s="1"/>
  <c r="K25" i="1"/>
  <c r="I24" i="1"/>
  <c r="I23" i="1" s="1"/>
  <c r="K478" i="2"/>
  <c r="K477" i="2" s="1"/>
  <c r="K469" i="2" s="1"/>
  <c r="I477" i="2"/>
  <c r="I469" i="2" s="1"/>
  <c r="I443" i="2" s="1"/>
  <c r="M185" i="1"/>
  <c r="K182" i="1"/>
  <c r="G61" i="1"/>
  <c r="S75" i="1"/>
  <c r="U159" i="1"/>
  <c r="I56" i="2"/>
  <c r="I55" i="2" s="1"/>
  <c r="I54" i="2" s="1"/>
  <c r="M160" i="1"/>
  <c r="K158" i="1"/>
  <c r="M140" i="1"/>
  <c r="K138" i="1"/>
  <c r="Q55" i="1"/>
  <c r="O54" i="1"/>
  <c r="M172" i="1"/>
  <c r="K171" i="1"/>
  <c r="K95" i="1"/>
  <c r="I94" i="1"/>
  <c r="U80" i="1"/>
  <c r="U79" i="1" s="1"/>
  <c r="S79" i="1"/>
  <c r="K161" i="2"/>
  <c r="K160" i="2" s="1"/>
  <c r="K159" i="2" s="1"/>
  <c r="K100" i="2" s="1"/>
  <c r="I160" i="2"/>
  <c r="I159" i="2" s="1"/>
  <c r="I100" i="2" s="1"/>
  <c r="K13" i="2"/>
  <c r="K12" i="2" s="1"/>
  <c r="K11" i="2" s="1"/>
  <c r="K10" i="2" s="1"/>
  <c r="I12" i="2"/>
  <c r="I11" i="2" s="1"/>
  <c r="I10" i="2" s="1"/>
  <c r="K86" i="1"/>
  <c r="K443" i="2"/>
  <c r="U165" i="1"/>
  <c r="U164" i="1" s="1"/>
  <c r="S164" i="1"/>
  <c r="G823" i="2" l="1"/>
  <c r="K412" i="2"/>
  <c r="K410" i="2" s="1"/>
  <c r="K407" i="2" s="1"/>
  <c r="K213" i="2" s="1"/>
  <c r="I410" i="2"/>
  <c r="I407" i="2" s="1"/>
  <c r="S125" i="1"/>
  <c r="Q124" i="1"/>
  <c r="O67" i="1"/>
  <c r="M66" i="1"/>
  <c r="O136" i="1"/>
  <c r="Q137" i="1"/>
  <c r="M171" i="1"/>
  <c r="O172" i="1"/>
  <c r="Q172" i="1" s="1"/>
  <c r="S172" i="1" s="1"/>
  <c r="U172" i="1" s="1"/>
  <c r="O140" i="1"/>
  <c r="M138" i="1"/>
  <c r="U75" i="1"/>
  <c r="E823" i="2"/>
  <c r="K150" i="1"/>
  <c r="S199" i="1"/>
  <c r="Q198" i="1"/>
  <c r="M58" i="1"/>
  <c r="K57" i="1"/>
  <c r="M145" i="1"/>
  <c r="M144" i="1" s="1"/>
  <c r="O147" i="1"/>
  <c r="U183" i="1"/>
  <c r="O103" i="1"/>
  <c r="M102" i="1"/>
  <c r="O21" i="1"/>
  <c r="O20" i="1" s="1"/>
  <c r="Q22" i="1"/>
  <c r="M25" i="1"/>
  <c r="K24" i="1"/>
  <c r="K23" i="1" s="1"/>
  <c r="S15" i="1"/>
  <c r="S14" i="1" s="1"/>
  <c r="U16" i="1"/>
  <c r="U15" i="1" s="1"/>
  <c r="U14" i="1" s="1"/>
  <c r="O185" i="1"/>
  <c r="M182" i="1"/>
  <c r="S139" i="1"/>
  <c r="M83" i="1"/>
  <c r="K82" i="1"/>
  <c r="K81" i="1" s="1"/>
  <c r="K35" i="1"/>
  <c r="M36" i="1"/>
  <c r="K213" i="1"/>
  <c r="I212" i="1"/>
  <c r="I207" i="1" s="1"/>
  <c r="I231" i="1" s="1"/>
  <c r="I235" i="1" s="1"/>
  <c r="K328" i="2"/>
  <c r="K324" i="2" s="1"/>
  <c r="K299" i="2" s="1"/>
  <c r="I324" i="2"/>
  <c r="I299" i="2" s="1"/>
  <c r="I213" i="2" s="1"/>
  <c r="O224" i="1"/>
  <c r="M223" i="1"/>
  <c r="Q87" i="1"/>
  <c r="O86" i="1"/>
  <c r="O197" i="1"/>
  <c r="M196" i="1"/>
  <c r="M151" i="1"/>
  <c r="O153" i="1"/>
  <c r="O40" i="1"/>
  <c r="O39" i="1" s="1"/>
  <c r="Q42" i="1"/>
  <c r="M51" i="1"/>
  <c r="K50" i="1"/>
  <c r="K47" i="1" s="1"/>
  <c r="M48" i="1"/>
  <c r="O49" i="1"/>
  <c r="K101" i="1"/>
  <c r="Q71" i="1"/>
  <c r="M95" i="1"/>
  <c r="K94" i="1"/>
  <c r="Q54" i="1"/>
  <c r="S55" i="1"/>
  <c r="O160" i="1"/>
  <c r="M158" i="1"/>
  <c r="K203" i="1"/>
  <c r="I200" i="1"/>
  <c r="I190" i="1" s="1"/>
  <c r="H823" i="2"/>
  <c r="M192" i="1"/>
  <c r="K191" i="1"/>
  <c r="K133" i="1"/>
  <c r="M134" i="1"/>
  <c r="M19" i="1"/>
  <c r="K18" i="1"/>
  <c r="K17" i="1" s="1"/>
  <c r="K208" i="1"/>
  <c r="M209" i="1"/>
  <c r="M72" i="1"/>
  <c r="K70" i="1"/>
  <c r="K205" i="1"/>
  <c r="M206" i="1"/>
  <c r="O116" i="1"/>
  <c r="M115" i="1"/>
  <c r="I89" i="1"/>
  <c r="I645" i="2"/>
  <c r="Q218" i="1"/>
  <c r="S219" i="1"/>
  <c r="U230" i="1"/>
  <c r="U229" i="1" s="1"/>
  <c r="U228" i="1" s="1"/>
  <c r="S229" i="1"/>
  <c r="S228" i="1" s="1"/>
  <c r="M99" i="1"/>
  <c r="K98" i="1"/>
  <c r="I673" i="2"/>
  <c r="I823" i="2" s="1"/>
  <c r="K62" i="1"/>
  <c r="K61" i="1" s="1"/>
  <c r="M63" i="1"/>
  <c r="K26" i="2"/>
  <c r="Q194" i="1"/>
  <c r="S195" i="1"/>
  <c r="I745" i="2"/>
  <c r="I744" i="2" s="1"/>
  <c r="K747" i="2"/>
  <c r="K745" i="2" s="1"/>
  <c r="K744" i="2" s="1"/>
  <c r="K673" i="2" s="1"/>
  <c r="K823" i="2" s="1"/>
  <c r="I598" i="2"/>
  <c r="Q202" i="1"/>
  <c r="M76" i="1"/>
  <c r="K74" i="1"/>
  <c r="K73" i="1" s="1"/>
  <c r="K387" i="2"/>
  <c r="M64" i="1"/>
  <c r="O65" i="1"/>
  <c r="M91" i="1"/>
  <c r="K90" i="1"/>
  <c r="Q113" i="1"/>
  <c r="S114" i="1"/>
  <c r="M109" i="1"/>
  <c r="O110" i="1"/>
  <c r="M90" i="1" l="1"/>
  <c r="O91" i="1"/>
  <c r="O99" i="1"/>
  <c r="M98" i="1"/>
  <c r="O115" i="1"/>
  <c r="Q116" i="1"/>
  <c r="O72" i="1"/>
  <c r="M70" i="1"/>
  <c r="O192" i="1"/>
  <c r="M191" i="1"/>
  <c r="O151" i="1"/>
  <c r="Q153" i="1"/>
  <c r="Q110" i="1"/>
  <c r="O109" i="1"/>
  <c r="S54" i="1"/>
  <c r="U55" i="1"/>
  <c r="U54" i="1" s="1"/>
  <c r="O48" i="1"/>
  <c r="Q49" i="1"/>
  <c r="S42" i="1"/>
  <c r="Q40" i="1"/>
  <c r="Q39" i="1" s="1"/>
  <c r="Q21" i="1"/>
  <c r="Q20" i="1" s="1"/>
  <c r="S22" i="1"/>
  <c r="S198" i="1"/>
  <c r="U199" i="1"/>
  <c r="U198" i="1" s="1"/>
  <c r="U125" i="1"/>
  <c r="U124" i="1" s="1"/>
  <c r="S124" i="1"/>
  <c r="K89" i="1"/>
  <c r="O63" i="1"/>
  <c r="M62" i="1"/>
  <c r="S218" i="1"/>
  <c r="U219" i="1"/>
  <c r="U218" i="1" s="1"/>
  <c r="M203" i="1"/>
  <c r="K200" i="1"/>
  <c r="K190" i="1" s="1"/>
  <c r="S71" i="1"/>
  <c r="Q197" i="1"/>
  <c r="O196" i="1"/>
  <c r="Q224" i="1"/>
  <c r="O223" i="1"/>
  <c r="K212" i="1"/>
  <c r="K207" i="1" s="1"/>
  <c r="M213" i="1"/>
  <c r="O83" i="1"/>
  <c r="M82" i="1"/>
  <c r="M81" i="1" s="1"/>
  <c r="Q185" i="1"/>
  <c r="O182" i="1"/>
  <c r="S202" i="1"/>
  <c r="S194" i="1"/>
  <c r="U195" i="1"/>
  <c r="U194" i="1" s="1"/>
  <c r="O19" i="1"/>
  <c r="M18" i="1"/>
  <c r="M17" i="1" s="1"/>
  <c r="M35" i="1"/>
  <c r="O36" i="1"/>
  <c r="U139" i="1"/>
  <c r="M101" i="1"/>
  <c r="Q147" i="1"/>
  <c r="O145" i="1"/>
  <c r="O144" i="1" s="1"/>
  <c r="O58" i="1"/>
  <c r="M57" i="1"/>
  <c r="Q140" i="1"/>
  <c r="O138" i="1"/>
  <c r="S137" i="1"/>
  <c r="Q136" i="1"/>
  <c r="O66" i="1"/>
  <c r="Q67" i="1"/>
  <c r="S113" i="1"/>
  <c r="U114" i="1"/>
  <c r="U113" i="1" s="1"/>
  <c r="Q65" i="1"/>
  <c r="O64" i="1"/>
  <c r="O76" i="1"/>
  <c r="M74" i="1"/>
  <c r="M73" i="1" s="1"/>
  <c r="O206" i="1"/>
  <c r="M205" i="1"/>
  <c r="M208" i="1"/>
  <c r="O209" i="1"/>
  <c r="O134" i="1"/>
  <c r="M133" i="1"/>
  <c r="Q160" i="1"/>
  <c r="O158" i="1"/>
  <c r="M94" i="1"/>
  <c r="O95" i="1"/>
  <c r="O51" i="1"/>
  <c r="M50" i="1"/>
  <c r="M47" i="1" s="1"/>
  <c r="M150" i="1"/>
  <c r="Q86" i="1"/>
  <c r="S87" i="1"/>
  <c r="O25" i="1"/>
  <c r="M24" i="1"/>
  <c r="M23" i="1" s="1"/>
  <c r="O102" i="1"/>
  <c r="Q103" i="1"/>
  <c r="K231" i="1" l="1"/>
  <c r="K235" i="1" s="1"/>
  <c r="U87" i="1"/>
  <c r="U86" i="1" s="1"/>
  <c r="S86" i="1"/>
  <c r="S160" i="1"/>
  <c r="Q158" i="1"/>
  <c r="Q134" i="1"/>
  <c r="O133" i="1"/>
  <c r="Q206" i="1"/>
  <c r="O205" i="1"/>
  <c r="S67" i="1"/>
  <c r="Q66" i="1"/>
  <c r="O18" i="1"/>
  <c r="O17" i="1" s="1"/>
  <c r="Q19" i="1"/>
  <c r="U202" i="1"/>
  <c r="O82" i="1"/>
  <c r="O81" i="1" s="1"/>
  <c r="Q83" i="1"/>
  <c r="S224" i="1"/>
  <c r="Q223" i="1"/>
  <c r="Q63" i="1"/>
  <c r="O62" i="1"/>
  <c r="U22" i="1"/>
  <c r="U21" i="1" s="1"/>
  <c r="U20" i="1" s="1"/>
  <c r="S21" i="1"/>
  <c r="S20" i="1" s="1"/>
  <c r="S49" i="1"/>
  <c r="Q48" i="1"/>
  <c r="Q151" i="1"/>
  <c r="Q150" i="1" s="1"/>
  <c r="S153" i="1"/>
  <c r="Q25" i="1"/>
  <c r="O24" i="1"/>
  <c r="O208" i="1"/>
  <c r="Q209" i="1"/>
  <c r="S65" i="1"/>
  <c r="Q64" i="1"/>
  <c r="S140" i="1"/>
  <c r="Q138" i="1"/>
  <c r="Q145" i="1"/>
  <c r="Q144" i="1" s="1"/>
  <c r="S147" i="1"/>
  <c r="O35" i="1"/>
  <c r="Q36" i="1"/>
  <c r="O213" i="1"/>
  <c r="M212" i="1"/>
  <c r="U71" i="1"/>
  <c r="O150" i="1"/>
  <c r="Q72" i="1"/>
  <c r="O70" i="1"/>
  <c r="O98" i="1"/>
  <c r="Q99" i="1"/>
  <c r="Q102" i="1"/>
  <c r="S103" i="1"/>
  <c r="O50" i="1"/>
  <c r="O47" i="1" s="1"/>
  <c r="Q51" i="1"/>
  <c r="M207" i="1"/>
  <c r="S185" i="1"/>
  <c r="Q182" i="1"/>
  <c r="S197" i="1"/>
  <c r="Q196" i="1"/>
  <c r="M190" i="1"/>
  <c r="Q115" i="1"/>
  <c r="S116" i="1"/>
  <c r="Q91" i="1"/>
  <c r="O90" i="1"/>
  <c r="O89" i="1" s="1"/>
  <c r="O101" i="1"/>
  <c r="O94" i="1"/>
  <c r="Q95" i="1"/>
  <c r="Q76" i="1"/>
  <c r="O74" i="1"/>
  <c r="O73" i="1" s="1"/>
  <c r="S136" i="1"/>
  <c r="U137" i="1"/>
  <c r="U136" i="1" s="1"/>
  <c r="O57" i="1"/>
  <c r="Q58" i="1"/>
  <c r="O203" i="1"/>
  <c r="M200" i="1"/>
  <c r="M61" i="1"/>
  <c r="S40" i="1"/>
  <c r="S39" i="1" s="1"/>
  <c r="U42" i="1"/>
  <c r="U40" i="1" s="1"/>
  <c r="U39" i="1" s="1"/>
  <c r="S110" i="1"/>
  <c r="Q109" i="1"/>
  <c r="O191" i="1"/>
  <c r="Q192" i="1"/>
  <c r="M89" i="1"/>
  <c r="U185" i="1" l="1"/>
  <c r="U182" i="1" s="1"/>
  <c r="S182" i="1"/>
  <c r="S36" i="1"/>
  <c r="Q35" i="1"/>
  <c r="Q208" i="1"/>
  <c r="S209" i="1"/>
  <c r="Q205" i="1"/>
  <c r="S206" i="1"/>
  <c r="U160" i="1"/>
  <c r="U158" i="1" s="1"/>
  <c r="S158" i="1"/>
  <c r="S109" i="1"/>
  <c r="U110" i="1"/>
  <c r="U109" i="1" s="1"/>
  <c r="Q94" i="1"/>
  <c r="S95" i="1"/>
  <c r="S91" i="1"/>
  <c r="Q90" i="1"/>
  <c r="Q89" i="1" s="1"/>
  <c r="U140" i="1"/>
  <c r="U138" i="1" s="1"/>
  <c r="S138" i="1"/>
  <c r="S223" i="1"/>
  <c r="U224" i="1"/>
  <c r="U223" i="1" s="1"/>
  <c r="Q191" i="1"/>
  <c r="S192" i="1"/>
  <c r="Q203" i="1"/>
  <c r="O200" i="1"/>
  <c r="S115" i="1"/>
  <c r="U116" i="1"/>
  <c r="U115" i="1" s="1"/>
  <c r="U197" i="1"/>
  <c r="U196" i="1" s="1"/>
  <c r="S196" i="1"/>
  <c r="Q50" i="1"/>
  <c r="Q47" i="1" s="1"/>
  <c r="S51" i="1"/>
  <c r="S99" i="1"/>
  <c r="Q98" i="1"/>
  <c r="S145" i="1"/>
  <c r="S144" i="1" s="1"/>
  <c r="U147" i="1"/>
  <c r="U145" i="1" s="1"/>
  <c r="U144" i="1" s="1"/>
  <c r="O23" i="1"/>
  <c r="O61" i="1"/>
  <c r="S83" i="1"/>
  <c r="Q82" i="1"/>
  <c r="Q81" i="1" s="1"/>
  <c r="Q18" i="1"/>
  <c r="Q17" i="1" s="1"/>
  <c r="S19" i="1"/>
  <c r="U67" i="1"/>
  <c r="U66" i="1" s="1"/>
  <c r="S66" i="1"/>
  <c r="S134" i="1"/>
  <c r="Q133" i="1"/>
  <c r="Q101" i="1" s="1"/>
  <c r="S76" i="1"/>
  <c r="Q74" i="1"/>
  <c r="Q73" i="1" s="1"/>
  <c r="S102" i="1"/>
  <c r="U103" i="1"/>
  <c r="U102" i="1" s="1"/>
  <c r="S151" i="1"/>
  <c r="S150" i="1" s="1"/>
  <c r="U153" i="1"/>
  <c r="U151" i="1" s="1"/>
  <c r="U150" i="1" s="1"/>
  <c r="M231" i="1"/>
  <c r="M235" i="1" s="1"/>
  <c r="S72" i="1"/>
  <c r="Q70" i="1"/>
  <c r="O190" i="1"/>
  <c r="S58" i="1"/>
  <c r="Q57" i="1"/>
  <c r="O212" i="1"/>
  <c r="O207" i="1" s="1"/>
  <c r="O231" i="1" s="1"/>
  <c r="O235" i="1" s="1"/>
  <c r="Q213" i="1"/>
  <c r="U65" i="1"/>
  <c r="U64" i="1" s="1"/>
  <c r="S64" i="1"/>
  <c r="S25" i="1"/>
  <c r="Q24" i="1"/>
  <c r="S48" i="1"/>
  <c r="U49" i="1"/>
  <c r="U48" i="1" s="1"/>
  <c r="S63" i="1"/>
  <c r="Q62" i="1"/>
  <c r="U19" i="1" l="1"/>
  <c r="U18" i="1" s="1"/>
  <c r="U17" i="1" s="1"/>
  <c r="S18" i="1"/>
  <c r="S17" i="1" s="1"/>
  <c r="U206" i="1"/>
  <c r="U205" i="1" s="1"/>
  <c r="S205" i="1"/>
  <c r="Q61" i="1"/>
  <c r="Q23" i="1"/>
  <c r="S213" i="1"/>
  <c r="Q212" i="1"/>
  <c r="S133" i="1"/>
  <c r="S101" i="1" s="1"/>
  <c r="U134" i="1"/>
  <c r="U133" i="1" s="1"/>
  <c r="U101" i="1" s="1"/>
  <c r="U91" i="1"/>
  <c r="U90" i="1" s="1"/>
  <c r="S90" i="1"/>
  <c r="S89" i="1" s="1"/>
  <c r="U36" i="1"/>
  <c r="U35" i="1" s="1"/>
  <c r="S35" i="1"/>
  <c r="S57" i="1"/>
  <c r="U58" i="1"/>
  <c r="U57" i="1" s="1"/>
  <c r="S62" i="1"/>
  <c r="U63" i="1"/>
  <c r="U62" i="1" s="1"/>
  <c r="S24" i="1"/>
  <c r="S23" i="1" s="1"/>
  <c r="U25" i="1"/>
  <c r="U24" i="1" s="1"/>
  <c r="U23" i="1" s="1"/>
  <c r="S98" i="1"/>
  <c r="U99" i="1"/>
  <c r="U98" i="1" s="1"/>
  <c r="S203" i="1"/>
  <c r="Q200" i="1"/>
  <c r="Q190" i="1" s="1"/>
  <c r="S94" i="1"/>
  <c r="U95" i="1"/>
  <c r="U94" i="1" s="1"/>
  <c r="U209" i="1"/>
  <c r="U208" i="1" s="1"/>
  <c r="S208" i="1"/>
  <c r="U72" i="1"/>
  <c r="U70" i="1" s="1"/>
  <c r="S70" i="1"/>
  <c r="U76" i="1"/>
  <c r="U74" i="1" s="1"/>
  <c r="U73" i="1" s="1"/>
  <c r="S74" i="1"/>
  <c r="S73" i="1" s="1"/>
  <c r="S82" i="1"/>
  <c r="S81" i="1" s="1"/>
  <c r="U83" i="1"/>
  <c r="U82" i="1" s="1"/>
  <c r="U81" i="1" s="1"/>
  <c r="U51" i="1"/>
  <c r="U50" i="1" s="1"/>
  <c r="U47" i="1" s="1"/>
  <c r="S50" i="1"/>
  <c r="S47" i="1" s="1"/>
  <c r="U192" i="1"/>
  <c r="U191" i="1" s="1"/>
  <c r="S191" i="1"/>
  <c r="Q207" i="1"/>
  <c r="U203" i="1" l="1"/>
  <c r="U200" i="1" s="1"/>
  <c r="U190" i="1" s="1"/>
  <c r="S200" i="1"/>
  <c r="S190" i="1" s="1"/>
  <c r="U61" i="1"/>
  <c r="U89" i="1"/>
  <c r="Q231" i="1"/>
  <c r="Q235" i="1" s="1"/>
  <c r="S61" i="1"/>
  <c r="S212" i="1"/>
  <c r="S207" i="1" s="1"/>
  <c r="S231" i="1" s="1"/>
  <c r="S235" i="1" s="1"/>
  <c r="U213" i="1"/>
  <c r="U212" i="1" s="1"/>
  <c r="U207" i="1" s="1"/>
  <c r="U231" i="1" s="1"/>
  <c r="U235" i="1" s="1"/>
</calcChain>
</file>

<file path=xl/sharedStrings.xml><?xml version="1.0" encoding="utf-8"?>
<sst xmlns="http://schemas.openxmlformats.org/spreadsheetml/2006/main" count="1238" uniqueCount="318">
  <si>
    <t>Dział</t>
  </si>
  <si>
    <t>Nazwa działu i rozdziału</t>
  </si>
  <si>
    <t xml:space="preserve">§ </t>
  </si>
  <si>
    <t>Rozdział</t>
  </si>
  <si>
    <t>Rolnictwo i łowiectwo</t>
  </si>
  <si>
    <t xml:space="preserve"> Pozostała działalność</t>
  </si>
  <si>
    <t>01095</t>
  </si>
  <si>
    <t>Wpływy z różnych dochodów</t>
  </si>
  <si>
    <t>0970</t>
  </si>
  <si>
    <t>Leśnictwo</t>
  </si>
  <si>
    <t>02095</t>
  </si>
  <si>
    <t>Rybołówstwo i rybactwo</t>
  </si>
  <si>
    <t xml:space="preserve">05095 </t>
  </si>
  <si>
    <t>Wpływy z różnych opłat</t>
  </si>
  <si>
    <t>0690</t>
  </si>
  <si>
    <t>Transport i łączność</t>
  </si>
  <si>
    <t>Drogi publiczne powiatowe</t>
  </si>
  <si>
    <t>Dotacje celowe w ramach programów (…)</t>
  </si>
  <si>
    <t>6207</t>
  </si>
  <si>
    <t>Dotacja celowa otrzymana z tytyłu pomocy finansowej (…)</t>
  </si>
  <si>
    <t>6300</t>
  </si>
  <si>
    <t>6309</t>
  </si>
  <si>
    <t>Dotacje celowe otrzymane z gminy na inwestycje i zakupy inwestycyjne</t>
  </si>
  <si>
    <t>6619</t>
  </si>
  <si>
    <t>Dotacje celowe otrzymane z powiatu na inwestycje i zakupy inwestycyjne</t>
  </si>
  <si>
    <t>6629</t>
  </si>
  <si>
    <t>6290</t>
  </si>
  <si>
    <t>Wpływy z opłaty komunikacyjnej</t>
  </si>
  <si>
    <t>0420</t>
  </si>
  <si>
    <t>2710</t>
  </si>
  <si>
    <t>Gospodarka mieszkaniowa</t>
  </si>
  <si>
    <t xml:space="preserve"> Gospodarka gruntami i nieruchomościami</t>
  </si>
  <si>
    <t>Wpływy tytułu odpłatnego nabycia prawa własności</t>
  </si>
  <si>
    <t>0770</t>
  </si>
  <si>
    <t>Dochody j.s.t. Związane z realizacją zadań z zakresu administracji</t>
  </si>
  <si>
    <t>2360</t>
  </si>
  <si>
    <t>Dot. cel. z budżetu państwa na zad. bież.z zakresu a</t>
  </si>
  <si>
    <t>2110</t>
  </si>
  <si>
    <t>Działalność usługowa</t>
  </si>
  <si>
    <t xml:space="preserve"> Prace geodezyjne i kartograficzne (nieinwestycyjne)</t>
  </si>
  <si>
    <t>Dot. cel. z budżetu państwa na zad. bież.z zakresu administracji rządowej</t>
  </si>
  <si>
    <t xml:space="preserve">  Nadzór budowlany</t>
  </si>
  <si>
    <t>Pozostałe odsetki</t>
  </si>
  <si>
    <t>0920</t>
  </si>
  <si>
    <t>Organizacja targów i wystaw</t>
  </si>
  <si>
    <t>Otrzymane spadki, zapisy, darowizny w postaci pieniężnej</t>
  </si>
  <si>
    <t>0960</t>
  </si>
  <si>
    <t>Pozostała działalnośc</t>
  </si>
  <si>
    <t>Wpływy z usług</t>
  </si>
  <si>
    <t>0830</t>
  </si>
  <si>
    <t>Administracja publiczna</t>
  </si>
  <si>
    <t xml:space="preserve"> Urzędy wojewódzkie</t>
  </si>
  <si>
    <t>Urzędy marszałkowskie</t>
  </si>
  <si>
    <t>Dotacje celowe otrzymane z samorządu województwa na inwestycje</t>
  </si>
  <si>
    <t>6637</t>
  </si>
  <si>
    <t xml:space="preserve"> Starostwa powiatowe</t>
  </si>
  <si>
    <t>Dochody z najmu i dzierżawy składników majątkowych (...)</t>
  </si>
  <si>
    <t>0750</t>
  </si>
  <si>
    <t>Kwalifikacja wojskowa</t>
  </si>
  <si>
    <t>Dot. cel. z budżetu państ. na zad. bież.realizow. na podst. porozum. z org. adm. rząd.</t>
  </si>
  <si>
    <t>2120</t>
  </si>
  <si>
    <t>Bezpieczeństwo publiczne i ochrona przeciwpożarowa</t>
  </si>
  <si>
    <t xml:space="preserve"> Komendy powiatowe Państwowej Straży Pożarnej</t>
  </si>
  <si>
    <t>Dot. cel. z budż. państ. na inwest. i zak. inwest. z zakresu administracji rządowej oraz inne zad. zlec. ust. realiz. przez powiat</t>
  </si>
  <si>
    <t>6410</t>
  </si>
  <si>
    <t>Pozostała działalność</t>
  </si>
  <si>
    <t>Doch. od osób prawnych, od osób fizycznych i od innych (...)</t>
  </si>
  <si>
    <t>Wpływy z innych opłat stanowiących dochody j.s.t.</t>
  </si>
  <si>
    <t>Wpływy z innych lokalnych opłat pobieranych przez j.s.t (...)</t>
  </si>
  <si>
    <t>0490</t>
  </si>
  <si>
    <t>Podatek dochodowy od osób fizycznych</t>
  </si>
  <si>
    <t>0010</t>
  </si>
  <si>
    <t>Podatek dochodowy od osób prawnych</t>
  </si>
  <si>
    <t>0020</t>
  </si>
  <si>
    <t>Różne rozliczenia</t>
  </si>
  <si>
    <t>Subwencje ogólne z budżetu państwa</t>
  </si>
  <si>
    <t>2920</t>
  </si>
  <si>
    <t>Uzupełnienie subwencji ogólnej dla jednostek samorządu terytorialnego</t>
  </si>
  <si>
    <t>Środki na inwestycje na drogach publicznych (…)</t>
  </si>
  <si>
    <t>6180</t>
  </si>
  <si>
    <t xml:space="preserve"> Część wyrównawcza subwencji ogólnej dla powiatów</t>
  </si>
  <si>
    <t xml:space="preserve"> Część równoważąca subwencji ogólnej dla powiatów</t>
  </si>
  <si>
    <t>Różne rozliczenia finansowe</t>
  </si>
  <si>
    <t>Oświata i wychowanie</t>
  </si>
  <si>
    <t xml:space="preserve"> Szkoły podstawowe specjalne</t>
  </si>
  <si>
    <t>2007</t>
  </si>
  <si>
    <t>2009</t>
  </si>
  <si>
    <t>Gimnazja specjalne</t>
  </si>
  <si>
    <t>Licea ogólnokształcące</t>
  </si>
  <si>
    <t>Szkoły zawodowe</t>
  </si>
  <si>
    <t>Wpływy ze sprzedażt składników majątkowych</t>
  </si>
  <si>
    <t>0870</t>
  </si>
  <si>
    <t>Dotaceje celowe w ramach programów (…)</t>
  </si>
  <si>
    <t>2001</t>
  </si>
  <si>
    <t>Wpływy ze zwrotów dotacji</t>
  </si>
  <si>
    <t>2910</t>
  </si>
  <si>
    <t>Wpływy ze sprzedaży wyrobów</t>
  </si>
  <si>
    <t>0840</t>
  </si>
  <si>
    <t>Stołówki szkolne</t>
  </si>
  <si>
    <t>Dotacje celowe otrzymane z budżetu państwa na zadania bieżące z zakresu administracji rządowej oraz inne zadania zlecone …</t>
  </si>
  <si>
    <t>2130</t>
  </si>
  <si>
    <t>Dotacje otrzymane z państwowych funduszy celowych</t>
  </si>
  <si>
    <t>6260</t>
  </si>
  <si>
    <t>Ochrona zdrowia</t>
  </si>
  <si>
    <t>Szpitale ogólne</t>
  </si>
  <si>
    <t>Pomoc społeczna</t>
  </si>
  <si>
    <t>Placówki opiekuńczo- wychowawcze</t>
  </si>
  <si>
    <t>Wpływy z róznych dochodów</t>
  </si>
  <si>
    <t xml:space="preserve"> Domy pomocy społecznej</t>
  </si>
  <si>
    <t>Dot. cel. z budżetu państwa na realizację  bieżących zadań własnych powiatu</t>
  </si>
  <si>
    <t>Ośrodki wsparcia</t>
  </si>
  <si>
    <t>Dochody jednostek samorządu terytorialnego związane z realizacją (…)</t>
  </si>
  <si>
    <t>Rodziny zastępcze</t>
  </si>
  <si>
    <t>Wpływy od rodziców</t>
  </si>
  <si>
    <t>0680</t>
  </si>
  <si>
    <t>Dot. cel. Otrzymane z gminy na zad. bieżące real. na podstawie porozumień między jed. sam. terytor.</t>
  </si>
  <si>
    <t>2310</t>
  </si>
  <si>
    <t>Dot. cel. Otrzymane z powiatu na zad. bieżące real. na podstawie porozumień między jed. sam. terytor.</t>
  </si>
  <si>
    <t>2320</t>
  </si>
  <si>
    <t xml:space="preserve">Powiatowe centra pomocy rodzinie </t>
  </si>
  <si>
    <t xml:space="preserve"> Pozostałe zadania w zakresie polityki społecznej</t>
  </si>
  <si>
    <t>Rehabilitacja zawodowa i społeczna osób niepełnosprawnych</t>
  </si>
  <si>
    <t xml:space="preserve"> Zespoły ds. orzekania o niepełnosprawności</t>
  </si>
  <si>
    <t xml:space="preserve">Fundusz Pracy </t>
  </si>
  <si>
    <t xml:space="preserve">Śr. z Fund. Pracy otrzymane przez powiat na finans. Kosztów wynagr. </t>
  </si>
  <si>
    <t>2690</t>
  </si>
  <si>
    <t xml:space="preserve"> Państwowy Fundusz Rehabilitacji Osób Niepełnosprawnych</t>
  </si>
  <si>
    <t xml:space="preserve"> Powiatowe urzędy pracy</t>
  </si>
  <si>
    <t>0979</t>
  </si>
  <si>
    <t>Pomoc dla repatriantów</t>
  </si>
  <si>
    <t>Edukacyjna opieka wychowawcza</t>
  </si>
  <si>
    <t xml:space="preserve">Poradnie psychologiczno - pedagogiczne </t>
  </si>
  <si>
    <t xml:space="preserve"> Placówki wychowania pozaszkolnego</t>
  </si>
  <si>
    <t>2440</t>
  </si>
  <si>
    <t xml:space="preserve"> Internaty i bursy szkolne</t>
  </si>
  <si>
    <t xml:space="preserve"> Szkolne schroniska młodzieżowe</t>
  </si>
  <si>
    <t>Gospodarka komunalna i ochrona środowiska</t>
  </si>
  <si>
    <t>Wpływy i wydatki związane z gromadzeniem środków z opłat i kar za korzystanie ze środowiska</t>
  </si>
  <si>
    <t>RAZEM  DOCHODY</t>
  </si>
  <si>
    <t>Przychody ogółem, w tym:</t>
  </si>
  <si>
    <t>Wolne środki, o których mowa (…)</t>
  </si>
  <si>
    <t>Przychody z zaciągniętych pożyczek i kredytów na rynku kraj.</t>
  </si>
  <si>
    <t>OGÓŁEM  DOCHODY  I  PRZYCHODY</t>
  </si>
  <si>
    <t>§</t>
  </si>
  <si>
    <t>Wyszczególnienie</t>
  </si>
  <si>
    <t>Zakup usług pozostałych</t>
  </si>
  <si>
    <t>02001</t>
  </si>
  <si>
    <t>Gospodarka leśna</t>
  </si>
  <si>
    <t>02002</t>
  </si>
  <si>
    <t>Nadzór nad gospodarką leśną</t>
  </si>
  <si>
    <t>Świadczenia na rzecz osób fizycznych</t>
  </si>
  <si>
    <t>Różne wydatki na rzecz osób fizycznych</t>
  </si>
  <si>
    <t>Wynagrodzenia i składki od nich naliczane</t>
  </si>
  <si>
    <t>Wynagrodzenia bezosobowe</t>
  </si>
  <si>
    <t>Zakup materiałów i wyposażenia</t>
  </si>
  <si>
    <t>Zakup energii</t>
  </si>
  <si>
    <t>Zakup usług remontowych</t>
  </si>
  <si>
    <t>Różne opłaty i składki</t>
  </si>
  <si>
    <t>Wydatki majątkowe</t>
  </si>
  <si>
    <t>Wydatki inwestycyjne jednostek budżetowych</t>
  </si>
  <si>
    <t xml:space="preserve">Dotacja celowa na pomoc finansową udzielaną między j.s.t.na </t>
  </si>
  <si>
    <t>Dotacje celowe przekazane gminie na inwestycje i zakupy inwestycyjne</t>
  </si>
  <si>
    <t>Wydatki na projekty lub programy finansowane z udziałem środków, o których mowa w art. 5 ust. 1 pkt 2 i 3</t>
  </si>
  <si>
    <t>Kary i odszkodowania wypłacane na rzecz osób fizycznych</t>
  </si>
  <si>
    <t>Koszty postepowania sądowego i prokuratorskiego</t>
  </si>
  <si>
    <t>Turystyka</t>
  </si>
  <si>
    <t>Pozostała dzialalność</t>
  </si>
  <si>
    <t>Dotacje na zadania bieżące</t>
  </si>
  <si>
    <t>Dotacje celowe z budżetu j.s.t. udzielone w trybie art.. 221 uofp (…)</t>
  </si>
  <si>
    <t>Gospodarka gruntami i nieruchomościami</t>
  </si>
  <si>
    <t>Zakup usług obejmujących wykonanie ekspertyz, analiz i opinii</t>
  </si>
  <si>
    <t>Podróże służbowe krajowe</t>
  </si>
  <si>
    <t>Podatek od nieruchomości</t>
  </si>
  <si>
    <t>Szkolenia pracowników nie będących członkami korpusu służby cywilnej</t>
  </si>
  <si>
    <t>Wydatki na zakupy inwestycyjne jednostek budżetowych</t>
  </si>
  <si>
    <t>Nadzór budowlany</t>
  </si>
  <si>
    <t>Wynagrodzenia osobowe pracowników</t>
  </si>
  <si>
    <t>Wynagrodzenia osobowe członków korpusu służby cywilnej</t>
  </si>
  <si>
    <t>Dodatkowe wynagrodzenie roczne</t>
  </si>
  <si>
    <t>Składki na ubezpieczenia społeczne</t>
  </si>
  <si>
    <t>Składki na Fundusz Pracy</t>
  </si>
  <si>
    <t>Wydatki osobowe nie zaliczone do wynagrodzeń</t>
  </si>
  <si>
    <t>Zakup usług zdrowotnych</t>
  </si>
  <si>
    <t>Zakup usług dostępu do sieci Internet</t>
  </si>
  <si>
    <t>Opłaty z tytułu zakupu usług telekom. Telefonii komórkowej</t>
  </si>
  <si>
    <t>Opłaty z tytułu zakupu usług telekom. Telefonii stacjonarnej</t>
  </si>
  <si>
    <t>Odpisy na zakładowy fundusz świadczeń socjalnych</t>
  </si>
  <si>
    <t>Urzędy wojewódzkie</t>
  </si>
  <si>
    <t>Rady powiatów</t>
  </si>
  <si>
    <t>Starostwa powiatowe</t>
  </si>
  <si>
    <t>Pozostałe podatki na rzecz budzetów jednostek samorządu</t>
  </si>
  <si>
    <t>Zakup leków i materiałów medycznych</t>
  </si>
  <si>
    <t>Promocja jednostek samorządu terytorialnego</t>
  </si>
  <si>
    <t>Komendy powiatowe Państwowej Straży Pożarnej</t>
  </si>
  <si>
    <t>Uposażenia żołnierzy zawodowych oraz funkcjonariuszy</t>
  </si>
  <si>
    <t>Pozostałe należnosci funkcjonariuszy</t>
  </si>
  <si>
    <t>Nagrody roczne dla funkcjonariuszy</t>
  </si>
  <si>
    <t>Uposażenia i świadczenia pieniężne wypłacane przez okres roku ...</t>
  </si>
  <si>
    <t>Równoważniki pieniężne i ekwiwalenty dla funkcjonariuszy</t>
  </si>
  <si>
    <t>Wydatki osobowe niezaliczone do uposażeń wypłacane funkcjonariuszom</t>
  </si>
  <si>
    <t>Zakup środków żywności</t>
  </si>
  <si>
    <t>Opłaty na rzecz budżetu państwa</t>
  </si>
  <si>
    <t>Szkolenia członków korpusu służby cywilnej</t>
  </si>
  <si>
    <t>Obsługa długu publicznego</t>
  </si>
  <si>
    <t>Obsługa papierów wartościowych, kredytów i pożyczek j.s.t.</t>
  </si>
  <si>
    <t>Wydatki związane z obsługą długu</t>
  </si>
  <si>
    <t>Odsetki od samorządowych pap. Wartościowych lub zaciągnięty (…) kredytów  (…)</t>
  </si>
  <si>
    <t>Rozliczenia różne</t>
  </si>
  <si>
    <t xml:space="preserve">Zakup usług pozostałych </t>
  </si>
  <si>
    <t>Rezerwy ogólne i celowe</t>
  </si>
  <si>
    <t>Rezerwy</t>
  </si>
  <si>
    <t>Szkoły podstawowe specjalne</t>
  </si>
  <si>
    <t>Zakup pomocy naukowych, dydaktycznych i książek</t>
  </si>
  <si>
    <t>Opata z tytułu zakupu usług telekom. Telefonii komórkowej</t>
  </si>
  <si>
    <t>Szkolenie pracowników niebędących członkami korpusu słuzby cywilnej</t>
  </si>
  <si>
    <t>Przedszkola specjalne</t>
  </si>
  <si>
    <t>Gimnazja</t>
  </si>
  <si>
    <t>Dot. podmiotowa z budżetu dla niepublicznej szkoły lub innej placówki</t>
  </si>
  <si>
    <t>Opłaty na rzecz budzetów jednostek samorządu terytorialnego</t>
  </si>
  <si>
    <t>Podróże służbowe zagraniczne</t>
  </si>
  <si>
    <t>Szkoły zawodowe specjalne</t>
  </si>
  <si>
    <t>Inne formy kształcenia osobno niewymienione</t>
  </si>
  <si>
    <t>Dokształcanie i doskonalenie nauczycieli</t>
  </si>
  <si>
    <t>Zapobieganie i zwalczanie AIDS</t>
  </si>
  <si>
    <t>Przeciwdziałanie alkoholizmowi</t>
  </si>
  <si>
    <t xml:space="preserve">Składki na ubezpieczeniezdrowotne oraz świadczenia dla osób nie </t>
  </si>
  <si>
    <t>Składki na ubezpieczenie zdrowotne</t>
  </si>
  <si>
    <t>Placówki opiekuńczo - wychowawcze</t>
  </si>
  <si>
    <t>Dot cel przekazane dla powiatu na zad b realiz na podst porozumień (umów) między jst</t>
  </si>
  <si>
    <t>Wydatki osobowe niezaliczane do wynagrodzeń</t>
  </si>
  <si>
    <t>Świadczenia społeczne</t>
  </si>
  <si>
    <t>Domy pomocy społecznej</t>
  </si>
  <si>
    <t>Pozostałe podatki na rzecz budżetu państwa</t>
  </si>
  <si>
    <t>Opłatyna rzecz budzetów j.s.t.</t>
  </si>
  <si>
    <t>Składki na Fundusz Emerytur Pomostowych</t>
  </si>
  <si>
    <t>Dot. cel. przekaz. gm na zad bież. realiz na podst. porozumień (umów) między j.s.t.</t>
  </si>
  <si>
    <t>Zadania w zakresie przeciwdziałania przemocy w rodzinie</t>
  </si>
  <si>
    <t>Powiatowe centra pomocy rodzinie</t>
  </si>
  <si>
    <t>Wydatki osobowe niezaliczone do wynagrodzeń</t>
  </si>
  <si>
    <t>Składki na ubezpieczenie społeczne</t>
  </si>
  <si>
    <t>Opłaty z tyt. zakupu usług telef. Komórkowej</t>
  </si>
  <si>
    <t>Pozostałe zadania w zakresie polityki społecznej</t>
  </si>
  <si>
    <t>Dotacja podmiotowa z budżetu dla jednostek (...)</t>
  </si>
  <si>
    <t>Zespoły do spraw orzekania o stopniu niepełnosprawności</t>
  </si>
  <si>
    <t>Powiatowe urzędy pracy</t>
  </si>
  <si>
    <t>Wczesne wspomaganie rozwoju dziecka</t>
  </si>
  <si>
    <t>Poradnie psychologiczno - pedagogiczne,w tym poradnie specjalistyczne</t>
  </si>
  <si>
    <t>Placówki wychowania pozaszkolnego</t>
  </si>
  <si>
    <t xml:space="preserve">Internaty i bursy </t>
  </si>
  <si>
    <t>Szkolne schroniska młodzieżowe</t>
  </si>
  <si>
    <t>Kultura i ochr. dziedzictwa narod.</t>
  </si>
  <si>
    <t>Biblioteki</t>
  </si>
  <si>
    <t>Dot. cel. przekazane gminie na zad. bież realizowane na podstawie porozumień</t>
  </si>
  <si>
    <t xml:space="preserve">Kultura fizyczna </t>
  </si>
  <si>
    <t xml:space="preserve">Zadania w zakresie kultury fizycznej </t>
  </si>
  <si>
    <t>Plan na dzień 01.01.2012 r.</t>
  </si>
  <si>
    <t xml:space="preserve">DOCHODY BUDŻETU POWIATU NA ROK 2012 </t>
  </si>
  <si>
    <t>010</t>
  </si>
  <si>
    <t>020</t>
  </si>
  <si>
    <t>050</t>
  </si>
  <si>
    <r>
      <t xml:space="preserve"> </t>
    </r>
    <r>
      <rPr>
        <b/>
        <i/>
        <u/>
        <sz val="8"/>
        <rFont val="Arial CE"/>
        <family val="2"/>
        <charset val="238"/>
      </rPr>
      <t>Udziały powiatów w podatkach stanowiacych doch. Budż. Państwa</t>
    </r>
  </si>
  <si>
    <r>
      <t xml:space="preserve"> </t>
    </r>
    <r>
      <rPr>
        <b/>
        <i/>
        <u/>
        <sz val="8"/>
        <rFont val="Arial CE"/>
        <family val="2"/>
        <charset val="238"/>
      </rPr>
      <t>Część oświatowa subwencji ogólnej dla j.s.t.</t>
    </r>
  </si>
  <si>
    <r>
      <t xml:space="preserve"> </t>
    </r>
    <r>
      <rPr>
        <b/>
        <i/>
        <u/>
        <sz val="8"/>
        <rFont val="Arial CE"/>
        <family val="2"/>
        <charset val="238"/>
      </rPr>
      <t xml:space="preserve">Składki na ubezpiecz. zdrow. oraz świadczenia dla </t>
    </r>
  </si>
  <si>
    <t>Opłaty z tytułu usług telekom.telefonii komórkowej</t>
  </si>
  <si>
    <t>Dochody</t>
  </si>
  <si>
    <t>Wydatki</t>
  </si>
  <si>
    <t>Wydatki na programy finansowane z udziałem środków, o których mowa w art. 5 ust. 1 pkt 2 i 3</t>
  </si>
  <si>
    <t>6610</t>
  </si>
  <si>
    <t>Dotace celowe w ramach programów (…)</t>
  </si>
  <si>
    <t>Zwiększenie/ Zmniejszenie</t>
  </si>
  <si>
    <t>Plan na dzień 31.01.2012 r.</t>
  </si>
  <si>
    <t>Przedszkola specjlane</t>
  </si>
  <si>
    <t>Plan na dzień 29.02.2012 r.</t>
  </si>
  <si>
    <t>Dotacje celowe (…)</t>
  </si>
  <si>
    <t>Wpływy z tytułu pomocy finansowej (…)</t>
  </si>
  <si>
    <t>Wydatki na programy finansowane z udziałem, środków o których mowa w art.. 5 ust. 1 pkt 2 i 3</t>
  </si>
  <si>
    <t>Plan na dzień 31.03.2012 r.</t>
  </si>
  <si>
    <t>6209</t>
  </si>
  <si>
    <t>Plan na dzień 30.04.2012 r.</t>
  </si>
  <si>
    <t>Plan na dzień 31.05.2012 r.</t>
  </si>
  <si>
    <t>Dotace celowe otrzymane z budżetu państwa na realizację bieżących zadań własnych powiatu</t>
  </si>
  <si>
    <t>Dotacje otrzmane z państwowych funduszy celowych (…)</t>
  </si>
  <si>
    <t>Środki na dofinansowanie własnych inwestycji gmin (…)</t>
  </si>
  <si>
    <t>Dotacje celowe otrzymane z powiatu na zadania bieżące realizowane (…)</t>
  </si>
  <si>
    <t>Plan na dzień 30.06.2012 r.</t>
  </si>
  <si>
    <t>Zwrot dotacji oraz płatności, w tym wykorzystywanych niezgodnie z przeznaczeniem (…)</t>
  </si>
  <si>
    <t>Plan na dzień 31.07.2012 r.</t>
  </si>
  <si>
    <t>Plan na dzień 31.08.2012 r.</t>
  </si>
  <si>
    <t>6269</t>
  </si>
  <si>
    <t>Wpływy od rodziców (…)</t>
  </si>
  <si>
    <t>Wydatki na zakup i objęcie akcji, wniesienie wkładów do spółek</t>
  </si>
  <si>
    <t>Zakup i objęcie akcji i udziałów oraz wniesienie wkładów do spółek prawa handlowego</t>
  </si>
  <si>
    <t>Opłaty za administrowanie i czynsze za budynki, lokale i pomieszczenia garażowe</t>
  </si>
  <si>
    <t>Opłaty z tytułu zakupu usług telekomunikacyjnych telefonii komórkowej</t>
  </si>
  <si>
    <t>Wydatki związane z realizacją ich statutowych zadań</t>
  </si>
  <si>
    <t>Opłaty na rzecz budżetów j.s.t.</t>
  </si>
  <si>
    <t>Ochrona zabytków i opieka nad zabytkami</t>
  </si>
  <si>
    <t>Opłata z tytułu zakupu usług telekom. telefonii komórkowej</t>
  </si>
  <si>
    <t>WYDATKI</t>
  </si>
  <si>
    <t>Opłata z tytułu usług telekom. Telefonii komórkowej</t>
  </si>
  <si>
    <t>Podatek od towarów i usług (VAT)</t>
  </si>
  <si>
    <t>Inwestycje i zakupy inwestycyjne</t>
  </si>
  <si>
    <t>Opłaty na rzecz budżetów jednostek samorządu terytorialnego</t>
  </si>
  <si>
    <t>Wynagrodzenie osobowe pracowników</t>
  </si>
  <si>
    <t>Zarządu Powiatu Zduńskowolskiego</t>
  </si>
  <si>
    <t>Wydatki na programy, o których mowa w art. 5 ust. 1 pkt 2 i 3</t>
  </si>
  <si>
    <t xml:space="preserve">Opłaty z tytułu zakupu usług telekomunikacyjnych </t>
  </si>
  <si>
    <t>Opłaty z tytułu zakupu usług telekomunikacyjnych</t>
  </si>
  <si>
    <t>Plan na dzień 01.01.2015 r.</t>
  </si>
  <si>
    <t>WYDATKI BUDŻETU POWIATU NA ROK 2015</t>
  </si>
  <si>
    <t>Plan na dzień 28.02.2015 r.</t>
  </si>
  <si>
    <t>Wydartki na zakup i objęcie akcji, wniesienie wkładów do spółek (…)</t>
  </si>
  <si>
    <t>Plan na dzień 31.03.2015 r.</t>
  </si>
  <si>
    <t>Realizacja zadań wymagających stosowania specjalnej organizacji nauki i metod pracy dla dzieci i młodzieży w szkołach podstawowych, gimnazjach, liceach ogólnokształcących (…)</t>
  </si>
  <si>
    <t>Plan na dzień 30.04.2015 r.</t>
  </si>
  <si>
    <t>Wpłaty jednostek na państwowy fundusz celowy na finansowanie lub dofinansowanie zadań inwestycyjnych</t>
  </si>
  <si>
    <t>Załącznik Nr 1 do Uchwały Nr V/56/15</t>
  </si>
  <si>
    <t xml:space="preserve">z dnia 30 kwitenia 2015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</si>
</sst>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7" x14ac:knownFonts="1">
    <font>
      <sz val="10"/>
      <name val="Arial"/>
      <family val="2"/>
      <charset val="238"/>
    </font>
    <font>
      <sz val="10"/>
      <name val="Arial CE"/>
      <family val="2"/>
      <charset val="238"/>
    </font>
    <font>
      <sz val="10"/>
      <color indexed="10"/>
      <name val="Arial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sz val="7"/>
      <name val="Arial CE"/>
      <family val="2"/>
      <charset val="238"/>
    </font>
    <font>
      <b/>
      <sz val="7"/>
      <color indexed="10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b/>
      <sz val="7"/>
      <name val="Arial CE"/>
      <family val="2"/>
      <charset val="238"/>
    </font>
    <font>
      <u/>
      <sz val="7"/>
      <name val="Arial CE"/>
      <family val="2"/>
      <charset val="238"/>
    </font>
    <font>
      <sz val="7"/>
      <color indexed="10"/>
      <name val="Arial CE"/>
      <family val="2"/>
      <charset val="238"/>
    </font>
    <font>
      <sz val="7"/>
      <color indexed="8"/>
      <name val="Arial CE"/>
      <family val="2"/>
      <charset val="238"/>
    </font>
    <font>
      <u/>
      <sz val="7"/>
      <color indexed="8"/>
      <name val="Arial CE"/>
      <family val="2"/>
      <charset val="238"/>
    </font>
    <font>
      <sz val="8"/>
      <color indexed="10"/>
      <name val="Arial CE"/>
      <family val="2"/>
      <charset val="238"/>
    </font>
    <font>
      <sz val="10"/>
      <color indexed="20"/>
      <name val="Arial CE"/>
      <family val="2"/>
      <charset val="238"/>
    </font>
    <font>
      <sz val="10"/>
      <color indexed="19"/>
      <name val="Arial CE"/>
      <family val="2"/>
      <charset val="238"/>
    </font>
    <font>
      <sz val="7"/>
      <color indexed="19"/>
      <name val="Arial CE"/>
      <family val="2"/>
      <charset val="238"/>
    </font>
    <font>
      <b/>
      <sz val="8"/>
      <color indexed="19"/>
      <name val="Arial CE"/>
      <family val="2"/>
      <charset val="238"/>
    </font>
    <font>
      <b/>
      <sz val="10"/>
      <name val="Arial"/>
      <family val="2"/>
      <charset val="238"/>
    </font>
    <font>
      <i/>
      <sz val="8"/>
      <name val="Arial CE"/>
      <family val="2"/>
      <charset val="238"/>
    </font>
    <font>
      <b/>
      <sz val="7"/>
      <name val="Arial"/>
      <family val="2"/>
      <charset val="238"/>
    </font>
    <font>
      <sz val="7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sz val="8"/>
      <color indexed="8"/>
      <name val="Arial CE"/>
      <family val="2"/>
      <charset val="238"/>
    </font>
    <font>
      <i/>
      <sz val="8"/>
      <color indexed="8"/>
      <name val="Arial CE"/>
      <family val="2"/>
      <charset val="238"/>
    </font>
    <font>
      <i/>
      <sz val="10"/>
      <name val="Arial CE"/>
      <family val="2"/>
      <charset val="238"/>
    </font>
    <font>
      <b/>
      <sz val="8"/>
      <name val="Arial"/>
      <family val="2"/>
      <charset val="238"/>
    </font>
    <font>
      <b/>
      <i/>
      <sz val="10"/>
      <name val="Arial CE"/>
      <family val="2"/>
      <charset val="238"/>
    </font>
    <font>
      <sz val="10"/>
      <name val="Arial"/>
      <family val="2"/>
      <charset val="238"/>
    </font>
    <font>
      <sz val="9"/>
      <name val="Arial CE"/>
      <family val="2"/>
      <charset val="238"/>
    </font>
    <font>
      <sz val="7"/>
      <name val="Arial CE"/>
      <charset val="238"/>
    </font>
    <font>
      <sz val="10"/>
      <name val="Arial CE"/>
      <charset val="238"/>
    </font>
    <font>
      <b/>
      <sz val="7"/>
      <name val="Arial CE"/>
      <charset val="238"/>
    </font>
    <font>
      <b/>
      <sz val="6"/>
      <name val="Arial CE"/>
      <charset val="238"/>
    </font>
    <font>
      <b/>
      <sz val="7"/>
      <color indexed="8"/>
      <name val="Arial CE"/>
      <charset val="238"/>
    </font>
    <font>
      <b/>
      <sz val="8"/>
      <name val="Arial CE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i/>
      <sz val="8"/>
      <name val="Arial CE"/>
      <charset val="238"/>
    </font>
    <font>
      <b/>
      <i/>
      <sz val="8"/>
      <name val="Arial CE"/>
      <charset val="238"/>
    </font>
    <font>
      <b/>
      <i/>
      <u/>
      <sz val="8"/>
      <name val="Arial CE"/>
      <charset val="238"/>
    </font>
    <font>
      <b/>
      <i/>
      <u/>
      <sz val="8"/>
      <name val="Arial CE"/>
      <family val="2"/>
      <charset val="238"/>
    </font>
    <font>
      <b/>
      <i/>
      <u/>
      <sz val="8"/>
      <color indexed="10"/>
      <name val="Arial CE"/>
      <charset val="238"/>
    </font>
    <font>
      <b/>
      <sz val="9"/>
      <color indexed="10"/>
      <name val="Arial CE"/>
      <family val="2"/>
      <charset val="238"/>
    </font>
    <font>
      <b/>
      <sz val="9"/>
      <color indexed="8"/>
      <name val="Arial CE"/>
      <family val="2"/>
      <charset val="238"/>
    </font>
    <font>
      <sz val="9"/>
      <color indexed="20"/>
      <name val="Arial CE"/>
      <family val="2"/>
      <charset val="238"/>
    </font>
    <font>
      <b/>
      <sz val="9"/>
      <color indexed="20"/>
      <name val="Arial CE"/>
      <family val="2"/>
      <charset val="238"/>
    </font>
    <font>
      <b/>
      <i/>
      <u/>
      <sz val="8"/>
      <name val="Tahoma"/>
      <family val="2"/>
      <charset val="238"/>
    </font>
    <font>
      <b/>
      <i/>
      <u/>
      <sz val="8"/>
      <color indexed="8"/>
      <name val="Arial CE"/>
      <charset val="238"/>
    </font>
    <font>
      <b/>
      <sz val="9"/>
      <name val="Arial"/>
      <family val="2"/>
      <charset val="238"/>
    </font>
    <font>
      <b/>
      <i/>
      <u/>
      <sz val="8"/>
      <name val="Arial"/>
      <family val="2"/>
      <charset val="238"/>
    </font>
    <font>
      <sz val="8"/>
      <name val="Arial CE"/>
      <charset val="238"/>
    </font>
    <font>
      <sz val="8"/>
      <color indexed="10"/>
      <name val="Arial CE"/>
      <charset val="238"/>
    </font>
    <font>
      <i/>
      <sz val="9"/>
      <name val="Arial CE"/>
      <charset val="238"/>
    </font>
    <font>
      <i/>
      <u/>
      <sz val="8"/>
      <name val="Arial CE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31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indexed="26"/>
      </patternFill>
    </fill>
    <fill>
      <patternFill patternType="solid">
        <fgColor theme="8" tint="-0.249977111117893"/>
        <bgColor indexed="40"/>
      </patternFill>
    </fill>
    <fill>
      <patternFill patternType="solid">
        <fgColor theme="0"/>
        <bgColor indexed="31"/>
      </patternFill>
    </fill>
  </fills>
  <borders count="53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</borders>
  <cellStyleXfs count="3">
    <xf numFmtId="0" fontId="0" fillId="0" borderId="0"/>
    <xf numFmtId="0" fontId="30" fillId="0" borderId="0"/>
    <xf numFmtId="9" fontId="1" fillId="0" borderId="0" applyFill="0" applyBorder="0" applyAlignment="0" applyProtection="0"/>
  </cellStyleXfs>
  <cellXfs count="326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3" fontId="6" fillId="0" borderId="0" xfId="0" applyNumberFormat="1" applyFont="1" applyFill="1" applyBorder="1"/>
    <xf numFmtId="0" fontId="16" fillId="0" borderId="0" xfId="0" applyFont="1" applyFill="1" applyBorder="1"/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right"/>
    </xf>
    <xf numFmtId="3" fontId="18" fillId="0" borderId="0" xfId="0" applyNumberFormat="1" applyFont="1" applyFill="1" applyBorder="1"/>
    <xf numFmtId="0" fontId="16" fillId="0" borderId="0" xfId="0" applyFont="1"/>
    <xf numFmtId="0" fontId="5" fillId="0" borderId="0" xfId="0" applyFont="1"/>
    <xf numFmtId="0" fontId="17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7" fillId="0" borderId="0" xfId="0" applyFont="1"/>
    <xf numFmtId="0" fontId="19" fillId="0" borderId="0" xfId="0" applyFont="1"/>
    <xf numFmtId="0" fontId="4" fillId="0" borderId="0" xfId="0" applyFont="1" applyAlignment="1">
      <alignment horizontal="center"/>
    </xf>
    <xf numFmtId="0" fontId="9" fillId="0" borderId="0" xfId="0" applyFont="1"/>
    <xf numFmtId="0" fontId="8" fillId="0" borderId="1" xfId="0" applyFont="1" applyBorder="1" applyAlignment="1">
      <alignment horizontal="center"/>
    </xf>
    <xf numFmtId="0" fontId="8" fillId="0" borderId="0" xfId="0" applyFont="1" applyFill="1" applyBorder="1"/>
    <xf numFmtId="0" fontId="27" fillId="0" borderId="0" xfId="0" applyFont="1" applyFill="1" applyBorder="1" applyAlignment="1">
      <alignment horizontal="right"/>
    </xf>
    <xf numFmtId="3" fontId="8" fillId="0" borderId="0" xfId="0" applyNumberFormat="1" applyFont="1" applyFill="1" applyBorder="1"/>
    <xf numFmtId="0" fontId="0" fillId="0" borderId="0" xfId="0" applyFill="1" applyBorder="1" applyAlignment="1">
      <alignment horizontal="right"/>
    </xf>
    <xf numFmtId="3" fontId="28" fillId="0" borderId="0" xfId="0" applyNumberFormat="1" applyFont="1" applyFill="1" applyBorder="1"/>
    <xf numFmtId="0" fontId="29" fillId="0" borderId="0" xfId="0" applyFont="1" applyFill="1" applyBorder="1"/>
    <xf numFmtId="3" fontId="4" fillId="0" borderId="0" xfId="0" applyNumberFormat="1" applyFont="1" applyFill="1" applyBorder="1"/>
    <xf numFmtId="0" fontId="1" fillId="0" borderId="0" xfId="0" applyFont="1" applyFill="1" applyBorder="1"/>
    <xf numFmtId="3" fontId="1" fillId="0" borderId="0" xfId="0" applyNumberFormat="1" applyFont="1" applyFill="1" applyBorder="1"/>
    <xf numFmtId="0" fontId="0" fillId="0" borderId="0" xfId="0" applyFill="1" applyBorder="1"/>
    <xf numFmtId="0" fontId="19" fillId="0" borderId="0" xfId="0" applyFont="1" applyFill="1" applyBorder="1"/>
    <xf numFmtId="0" fontId="5" fillId="0" borderId="2" xfId="0" applyFont="1" applyBorder="1" applyAlignment="1">
      <alignment horizontal="right"/>
    </xf>
    <xf numFmtId="0" fontId="5" fillId="0" borderId="2" xfId="0" applyFont="1" applyBorder="1"/>
    <xf numFmtId="0" fontId="5" fillId="0" borderId="2" xfId="0" applyFont="1" applyFill="1" applyBorder="1"/>
    <xf numFmtId="0" fontId="11" fillId="0" borderId="2" xfId="0" applyFont="1" applyFill="1" applyBorder="1"/>
    <xf numFmtId="0" fontId="11" fillId="0" borderId="2" xfId="0" applyFont="1" applyBorder="1"/>
    <xf numFmtId="0" fontId="9" fillId="0" borderId="2" xfId="0" applyFont="1" applyFill="1" applyBorder="1"/>
    <xf numFmtId="0" fontId="7" fillId="0" borderId="2" xfId="0" applyFont="1" applyFill="1" applyBorder="1"/>
    <xf numFmtId="0" fontId="12" fillId="0" borderId="2" xfId="0" applyFont="1" applyFill="1" applyBorder="1"/>
    <xf numFmtId="0" fontId="6" fillId="0" borderId="2" xfId="0" applyFont="1" applyFill="1" applyBorder="1"/>
    <xf numFmtId="0" fontId="14" fillId="0" borderId="2" xfId="0" applyFont="1" applyFill="1" applyBorder="1"/>
    <xf numFmtId="0" fontId="15" fillId="0" borderId="2" xfId="0" applyFont="1" applyFill="1" applyBorder="1"/>
    <xf numFmtId="0" fontId="8" fillId="0" borderId="3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4" xfId="0" applyFont="1" applyFill="1" applyBorder="1"/>
    <xf numFmtId="0" fontId="5" fillId="0" borderId="4" xfId="0" applyFont="1" applyFill="1" applyBorder="1" applyAlignment="1">
      <alignment horizontal="left"/>
    </xf>
    <xf numFmtId="0" fontId="12" fillId="0" borderId="4" xfId="0" applyFont="1" applyFill="1" applyBorder="1"/>
    <xf numFmtId="0" fontId="12" fillId="0" borderId="4" xfId="0" applyFont="1" applyFill="1" applyBorder="1" applyAlignment="1">
      <alignment horizontal="left"/>
    </xf>
    <xf numFmtId="0" fontId="5" fillId="0" borderId="5" xfId="0" applyFont="1" applyFill="1" applyBorder="1"/>
    <xf numFmtId="0" fontId="8" fillId="0" borderId="4" xfId="0" applyFont="1" applyFill="1" applyBorder="1" applyAlignment="1">
      <alignment horizontal="left"/>
    </xf>
    <xf numFmtId="0" fontId="8" fillId="0" borderId="6" xfId="0" applyFont="1" applyBorder="1" applyAlignment="1">
      <alignment horizontal="center"/>
    </xf>
    <xf numFmtId="3" fontId="10" fillId="0" borderId="7" xfId="0" applyNumberFormat="1" applyFont="1" applyFill="1" applyBorder="1" applyAlignment="1">
      <alignment horizontal="right"/>
    </xf>
    <xf numFmtId="3" fontId="5" fillId="0" borderId="7" xfId="0" applyNumberFormat="1" applyFont="1" applyFill="1" applyBorder="1" applyAlignment="1">
      <alignment horizontal="right"/>
    </xf>
    <xf numFmtId="3" fontId="5" fillId="0" borderId="7" xfId="0" applyNumberFormat="1" applyFont="1" applyFill="1" applyBorder="1"/>
    <xf numFmtId="3" fontId="5" fillId="0" borderId="8" xfId="0" applyNumberFormat="1" applyFont="1" applyFill="1" applyBorder="1"/>
    <xf numFmtId="3" fontId="5" fillId="0" borderId="8" xfId="0" applyNumberFormat="1" applyFont="1" applyFill="1" applyBorder="1" applyAlignment="1">
      <alignment horizontal="right"/>
    </xf>
    <xf numFmtId="3" fontId="12" fillId="0" borderId="7" xfId="0" applyNumberFormat="1" applyFont="1" applyFill="1" applyBorder="1" applyAlignment="1">
      <alignment horizontal="right"/>
    </xf>
    <xf numFmtId="3" fontId="13" fillId="0" borderId="7" xfId="0" applyNumberFormat="1" applyFont="1" applyFill="1" applyBorder="1" applyAlignment="1">
      <alignment horizontal="right"/>
    </xf>
    <xf numFmtId="3" fontId="5" fillId="0" borderId="7" xfId="0" applyNumberFormat="1" applyFont="1" applyFill="1" applyBorder="1" applyAlignment="1"/>
    <xf numFmtId="3" fontId="8" fillId="0" borderId="7" xfId="0" applyNumberFormat="1" applyFont="1" applyFill="1" applyBorder="1"/>
    <xf numFmtId="0" fontId="8" fillId="0" borderId="9" xfId="0" applyFont="1" applyBorder="1" applyAlignment="1">
      <alignment horizontal="center"/>
    </xf>
    <xf numFmtId="49" fontId="34" fillId="0" borderId="10" xfId="0" applyNumberFormat="1" applyFont="1" applyBorder="1" applyAlignment="1">
      <alignment horizontal="right"/>
    </xf>
    <xf numFmtId="0" fontId="34" fillId="0" borderId="4" xfId="0" applyFont="1" applyBorder="1" applyAlignment="1">
      <alignment horizontal="right"/>
    </xf>
    <xf numFmtId="49" fontId="34" fillId="0" borderId="10" xfId="0" applyNumberFormat="1" applyFont="1" applyFill="1" applyBorder="1" applyAlignment="1">
      <alignment horizontal="right"/>
    </xf>
    <xf numFmtId="0" fontId="34" fillId="0" borderId="4" xfId="0" applyFont="1" applyFill="1" applyBorder="1" applyAlignment="1">
      <alignment horizontal="right"/>
    </xf>
    <xf numFmtId="49" fontId="34" fillId="0" borderId="4" xfId="0" applyNumberFormat="1" applyFont="1" applyFill="1" applyBorder="1" applyAlignment="1">
      <alignment horizontal="right"/>
    </xf>
    <xf numFmtId="0" fontId="35" fillId="0" borderId="4" xfId="0" applyFont="1" applyFill="1" applyBorder="1" applyAlignment="1">
      <alignment horizontal="right"/>
    </xf>
    <xf numFmtId="49" fontId="36" fillId="0" borderId="10" xfId="0" applyNumberFormat="1" applyFont="1" applyFill="1" applyBorder="1" applyAlignment="1">
      <alignment horizontal="right"/>
    </xf>
    <xf numFmtId="0" fontId="36" fillId="0" borderId="4" xfId="0" applyFont="1" applyFill="1" applyBorder="1" applyAlignment="1">
      <alignment horizontal="right"/>
    </xf>
    <xf numFmtId="0" fontId="37" fillId="0" borderId="10" xfId="0" applyFont="1" applyFill="1" applyBorder="1" applyAlignment="1">
      <alignment horizontal="right"/>
    </xf>
    <xf numFmtId="0" fontId="38" fillId="0" borderId="4" xfId="0" applyFont="1" applyFill="1" applyBorder="1" applyAlignment="1">
      <alignment horizontal="right"/>
    </xf>
    <xf numFmtId="0" fontId="34" fillId="0" borderId="10" xfId="0" applyFont="1" applyFill="1" applyBorder="1" applyAlignment="1">
      <alignment horizontal="right"/>
    </xf>
    <xf numFmtId="0" fontId="42" fillId="3" borderId="2" xfId="0" applyFont="1" applyFill="1" applyBorder="1"/>
    <xf numFmtId="0" fontId="43" fillId="3" borderId="2" xfId="0" applyFont="1" applyFill="1" applyBorder="1"/>
    <xf numFmtId="0" fontId="44" fillId="3" borderId="2" xfId="0" applyFont="1" applyFill="1" applyBorder="1"/>
    <xf numFmtId="0" fontId="3" fillId="4" borderId="11" xfId="0" quotePrefix="1" applyFont="1" applyFill="1" applyBorder="1" applyAlignment="1">
      <alignment horizontal="right"/>
    </xf>
    <xf numFmtId="0" fontId="3" fillId="4" borderId="5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right"/>
    </xf>
    <xf numFmtId="3" fontId="3" fillId="4" borderId="8" xfId="0" applyNumberFormat="1" applyFont="1" applyFill="1" applyBorder="1" applyAlignment="1">
      <alignment horizontal="right"/>
    </xf>
    <xf numFmtId="0" fontId="3" fillId="4" borderId="2" xfId="0" quotePrefix="1" applyFont="1" applyFill="1" applyBorder="1" applyAlignment="1">
      <alignment horizontal="right"/>
    </xf>
    <xf numFmtId="0" fontId="3" fillId="4" borderId="4" xfId="0" applyFont="1" applyFill="1" applyBorder="1" applyAlignment="1">
      <alignment horizontal="left"/>
    </xf>
    <xf numFmtId="49" fontId="3" fillId="4" borderId="10" xfId="0" applyNumberFormat="1" applyFont="1" applyFill="1" applyBorder="1" applyAlignment="1">
      <alignment horizontal="right"/>
    </xf>
    <xf numFmtId="0" fontId="3" fillId="4" borderId="4" xfId="0" applyFont="1" applyFill="1" applyBorder="1" applyAlignment="1">
      <alignment horizontal="right"/>
    </xf>
    <xf numFmtId="3" fontId="3" fillId="4" borderId="7" xfId="0" applyNumberFormat="1" applyFont="1" applyFill="1" applyBorder="1" applyAlignment="1">
      <alignment horizontal="right"/>
    </xf>
    <xf numFmtId="0" fontId="3" fillId="4" borderId="4" xfId="0" applyFont="1" applyFill="1" applyBorder="1"/>
    <xf numFmtId="3" fontId="3" fillId="4" borderId="7" xfId="0" applyNumberFormat="1" applyFont="1" applyFill="1" applyBorder="1"/>
    <xf numFmtId="0" fontId="3" fillId="4" borderId="2" xfId="0" applyFont="1" applyFill="1" applyBorder="1"/>
    <xf numFmtId="49" fontId="45" fillId="4" borderId="10" xfId="0" applyNumberFormat="1" applyFont="1" applyFill="1" applyBorder="1" applyAlignment="1">
      <alignment horizontal="right"/>
    </xf>
    <xf numFmtId="0" fontId="45" fillId="4" borderId="4" xfId="0" applyFont="1" applyFill="1" applyBorder="1" applyAlignment="1">
      <alignment horizontal="right"/>
    </xf>
    <xf numFmtId="0" fontId="46" fillId="4" borderId="2" xfId="0" applyFont="1" applyFill="1" applyBorder="1"/>
    <xf numFmtId="0" fontId="46" fillId="4" borderId="4" xfId="0" applyFont="1" applyFill="1" applyBorder="1"/>
    <xf numFmtId="49" fontId="46" fillId="4" borderId="10" xfId="0" applyNumberFormat="1" applyFont="1" applyFill="1" applyBorder="1" applyAlignment="1">
      <alignment horizontal="right"/>
    </xf>
    <xf numFmtId="0" fontId="46" fillId="4" borderId="4" xfId="0" applyFont="1" applyFill="1" applyBorder="1" applyAlignment="1">
      <alignment horizontal="right"/>
    </xf>
    <xf numFmtId="0" fontId="47" fillId="4" borderId="2" xfId="0" applyFont="1" applyFill="1" applyBorder="1"/>
    <xf numFmtId="0" fontId="3" fillId="4" borderId="4" xfId="0" applyFont="1" applyFill="1" applyBorder="1" applyAlignment="1">
      <alignment horizontal="center"/>
    </xf>
    <xf numFmtId="0" fontId="48" fillId="4" borderId="10" xfId="0" applyFont="1" applyFill="1" applyBorder="1" applyAlignment="1">
      <alignment horizontal="right"/>
    </xf>
    <xf numFmtId="0" fontId="48" fillId="4" borderId="4" xfId="0" applyFont="1" applyFill="1" applyBorder="1" applyAlignment="1">
      <alignment horizontal="right"/>
    </xf>
    <xf numFmtId="0" fontId="41" fillId="3" borderId="2" xfId="0" applyFont="1" applyFill="1" applyBorder="1" applyAlignment="1">
      <alignment horizontal="right"/>
    </xf>
    <xf numFmtId="0" fontId="42" fillId="3" borderId="4" xfId="0" applyFont="1" applyFill="1" applyBorder="1" applyAlignment="1">
      <alignment horizontal="left"/>
    </xf>
    <xf numFmtId="49" fontId="41" fillId="3" borderId="10" xfId="0" applyNumberFormat="1" applyFont="1" applyFill="1" applyBorder="1" applyAlignment="1">
      <alignment horizontal="right"/>
    </xf>
    <xf numFmtId="0" fontId="41" fillId="3" borderId="4" xfId="0" applyFont="1" applyFill="1" applyBorder="1" applyAlignment="1">
      <alignment horizontal="right"/>
    </xf>
    <xf numFmtId="3" fontId="42" fillId="3" borderId="7" xfId="0" applyNumberFormat="1" applyFont="1" applyFill="1" applyBorder="1" applyAlignment="1">
      <alignment horizontal="right"/>
    </xf>
    <xf numFmtId="0" fontId="42" fillId="3" borderId="2" xfId="0" applyFont="1" applyFill="1" applyBorder="1" applyAlignment="1">
      <alignment horizontal="right"/>
    </xf>
    <xf numFmtId="49" fontId="42" fillId="3" borderId="10" xfId="0" applyNumberFormat="1" applyFont="1" applyFill="1" applyBorder="1" applyAlignment="1">
      <alignment horizontal="right"/>
    </xf>
    <xf numFmtId="49" fontId="42" fillId="3" borderId="4" xfId="0" applyNumberFormat="1" applyFont="1" applyFill="1" applyBorder="1" applyAlignment="1">
      <alignment horizontal="right"/>
    </xf>
    <xf numFmtId="0" fontId="42" fillId="3" borderId="4" xfId="0" applyFont="1" applyFill="1" applyBorder="1" applyAlignment="1">
      <alignment horizontal="right"/>
    </xf>
    <xf numFmtId="0" fontId="42" fillId="3" borderId="4" xfId="0" applyFont="1" applyFill="1" applyBorder="1"/>
    <xf numFmtId="3" fontId="42" fillId="3" borderId="7" xfId="0" applyNumberFormat="1" applyFont="1" applyFill="1" applyBorder="1"/>
    <xf numFmtId="0" fontId="49" fillId="3" borderId="4" xfId="0" applyFont="1" applyFill="1" applyBorder="1" applyAlignment="1">
      <alignment horizontal="left"/>
    </xf>
    <xf numFmtId="3" fontId="43" fillId="3" borderId="7" xfId="0" applyNumberFormat="1" applyFont="1" applyFill="1" applyBorder="1" applyAlignment="1">
      <alignment horizontal="right"/>
    </xf>
    <xf numFmtId="0" fontId="49" fillId="3" borderId="4" xfId="0" applyFont="1" applyFill="1" applyBorder="1"/>
    <xf numFmtId="0" fontId="50" fillId="3" borderId="2" xfId="0" applyFont="1" applyFill="1" applyBorder="1"/>
    <xf numFmtId="0" fontId="50" fillId="3" borderId="4" xfId="0" applyFont="1" applyFill="1" applyBorder="1"/>
    <xf numFmtId="49" fontId="50" fillId="3" borderId="10" xfId="0" applyNumberFormat="1" applyFont="1" applyFill="1" applyBorder="1" applyAlignment="1">
      <alignment horizontal="right"/>
    </xf>
    <xf numFmtId="0" fontId="50" fillId="3" borderId="4" xfId="0" applyFont="1" applyFill="1" applyBorder="1" applyAlignment="1">
      <alignment horizontal="right"/>
    </xf>
    <xf numFmtId="3" fontId="50" fillId="3" borderId="7" xfId="0" applyNumberFormat="1" applyFont="1" applyFill="1" applyBorder="1"/>
    <xf numFmtId="3" fontId="50" fillId="3" borderId="7" xfId="0" applyNumberFormat="1" applyFont="1" applyFill="1" applyBorder="1" applyAlignment="1">
      <alignment horizontal="right"/>
    </xf>
    <xf numFmtId="0" fontId="50" fillId="3" borderId="4" xfId="0" applyFont="1" applyFill="1" applyBorder="1" applyAlignment="1">
      <alignment horizontal="left"/>
    </xf>
    <xf numFmtId="0" fontId="1" fillId="5" borderId="13" xfId="0" applyFont="1" applyFill="1" applyBorder="1"/>
    <xf numFmtId="0" fontId="8" fillId="5" borderId="14" xfId="0" applyFont="1" applyFill="1" applyBorder="1" applyAlignment="1">
      <alignment horizontal="center"/>
    </xf>
    <xf numFmtId="0" fontId="32" fillId="5" borderId="15" xfId="0" applyFont="1" applyFill="1" applyBorder="1" applyAlignment="1">
      <alignment horizontal="right"/>
    </xf>
    <xf numFmtId="0" fontId="33" fillId="5" borderId="14" xfId="0" applyFont="1" applyFill="1" applyBorder="1" applyAlignment="1">
      <alignment horizontal="right"/>
    </xf>
    <xf numFmtId="3" fontId="8" fillId="5" borderId="16" xfId="0" applyNumberFormat="1" applyFont="1" applyFill="1" applyBorder="1"/>
    <xf numFmtId="0" fontId="23" fillId="0" borderId="0" xfId="0" applyFont="1"/>
    <xf numFmtId="49" fontId="34" fillId="0" borderId="10" xfId="0" quotePrefix="1" applyNumberFormat="1" applyFont="1" applyFill="1" applyBorder="1" applyAlignment="1">
      <alignment horizontal="right"/>
    </xf>
    <xf numFmtId="4" fontId="0" fillId="0" borderId="0" xfId="0" applyNumberFormat="1"/>
    <xf numFmtId="4" fontId="0" fillId="6" borderId="0" xfId="0" applyNumberFormat="1" applyFill="1"/>
    <xf numFmtId="4" fontId="0" fillId="7" borderId="0" xfId="0" applyNumberFormat="1" applyFill="1"/>
    <xf numFmtId="3" fontId="53" fillId="0" borderId="7" xfId="0" applyNumberFormat="1" applyFont="1" applyFill="1" applyBorder="1"/>
    <xf numFmtId="3" fontId="42" fillId="3" borderId="4" xfId="0" applyNumberFormat="1" applyFont="1" applyFill="1" applyBorder="1" applyAlignment="1">
      <alignment horizontal="right"/>
    </xf>
    <xf numFmtId="0" fontId="54" fillId="7" borderId="2" xfId="0" applyFont="1" applyFill="1" applyBorder="1"/>
    <xf numFmtId="0" fontId="53" fillId="7" borderId="4" xfId="0" applyFont="1" applyFill="1" applyBorder="1" applyAlignment="1">
      <alignment horizontal="right"/>
    </xf>
    <xf numFmtId="3" fontId="53" fillId="7" borderId="7" xfId="0" applyNumberFormat="1" applyFont="1" applyFill="1" applyBorder="1"/>
    <xf numFmtId="0" fontId="32" fillId="7" borderId="4" xfId="0" applyFont="1" applyFill="1" applyBorder="1"/>
    <xf numFmtId="49" fontId="34" fillId="7" borderId="10" xfId="0" quotePrefix="1" applyNumberFormat="1" applyFont="1" applyFill="1" applyBorder="1" applyAlignment="1">
      <alignment horizontal="center"/>
    </xf>
    <xf numFmtId="3" fontId="32" fillId="7" borderId="7" xfId="0" applyNumberFormat="1" applyFont="1" applyFill="1" applyBorder="1"/>
    <xf numFmtId="0" fontId="42" fillId="0" borderId="2" xfId="0" applyFont="1" applyFill="1" applyBorder="1"/>
    <xf numFmtId="0" fontId="42" fillId="0" borderId="4" xfId="0" applyFont="1" applyFill="1" applyBorder="1" applyAlignment="1">
      <alignment horizontal="right"/>
    </xf>
    <xf numFmtId="3" fontId="42" fillId="0" borderId="7" xfId="0" applyNumberFormat="1" applyFont="1" applyFill="1" applyBorder="1"/>
    <xf numFmtId="0" fontId="3" fillId="8" borderId="17" xfId="0" applyFont="1" applyFill="1" applyBorder="1"/>
    <xf numFmtId="0" fontId="9" fillId="0" borderId="17" xfId="0" applyFont="1" applyBorder="1"/>
    <xf numFmtId="0" fontId="9" fillId="0" borderId="17" xfId="0" applyFont="1" applyFill="1" applyBorder="1"/>
    <xf numFmtId="0" fontId="42" fillId="9" borderId="17" xfId="0" applyFont="1" applyFill="1" applyBorder="1"/>
    <xf numFmtId="0" fontId="9" fillId="0" borderId="17" xfId="0" applyFont="1" applyBorder="1" applyAlignment="1">
      <alignment horizontal="center"/>
    </xf>
    <xf numFmtId="0" fontId="43" fillId="9" borderId="17" xfId="0" applyFont="1" applyFill="1" applyBorder="1"/>
    <xf numFmtId="0" fontId="42" fillId="10" borderId="17" xfId="0" applyFont="1" applyFill="1" applyBorder="1"/>
    <xf numFmtId="0" fontId="9" fillId="2" borderId="17" xfId="0" applyFont="1" applyFill="1" applyBorder="1"/>
    <xf numFmtId="0" fontId="3" fillId="11" borderId="18" xfId="0" applyFont="1" applyFill="1" applyBorder="1"/>
    <xf numFmtId="0" fontId="20" fillId="0" borderId="19" xfId="0" applyFont="1" applyBorder="1" applyAlignment="1"/>
    <xf numFmtId="0" fontId="8" fillId="0" borderId="20" xfId="0" applyFont="1" applyBorder="1" applyAlignment="1">
      <alignment horizontal="center"/>
    </xf>
    <xf numFmtId="0" fontId="42" fillId="3" borderId="17" xfId="0" applyFont="1" applyFill="1" applyBorder="1"/>
    <xf numFmtId="0" fontId="39" fillId="8" borderId="17" xfId="0" applyFont="1" applyFill="1" applyBorder="1"/>
    <xf numFmtId="0" fontId="21" fillId="2" borderId="19" xfId="1" applyFont="1" applyFill="1" applyBorder="1" applyAlignment="1">
      <alignment horizontal="right"/>
    </xf>
    <xf numFmtId="0" fontId="9" fillId="0" borderId="19" xfId="0" applyFont="1" applyBorder="1"/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3" fillId="8" borderId="23" xfId="0" quotePrefix="1" applyFont="1" applyFill="1" applyBorder="1" applyAlignment="1">
      <alignment horizontal="right"/>
    </xf>
    <xf numFmtId="0" fontId="42" fillId="3" borderId="19" xfId="0" applyFont="1" applyFill="1" applyBorder="1" applyAlignment="1">
      <alignment horizontal="right"/>
    </xf>
    <xf numFmtId="0" fontId="23" fillId="0" borderId="19" xfId="0" applyFont="1" applyBorder="1"/>
    <xf numFmtId="0" fontId="9" fillId="0" borderId="19" xfId="0" applyFont="1" applyBorder="1" applyAlignment="1">
      <alignment horizontal="right"/>
    </xf>
    <xf numFmtId="0" fontId="39" fillId="8" borderId="19" xfId="0" quotePrefix="1" applyFont="1" applyFill="1" applyBorder="1" applyAlignment="1">
      <alignment horizontal="right"/>
    </xf>
    <xf numFmtId="0" fontId="43" fillId="9" borderId="19" xfId="0" applyFont="1" applyFill="1" applyBorder="1" applyAlignment="1">
      <alignment horizontal="right"/>
    </xf>
    <xf numFmtId="0" fontId="9" fillId="0" borderId="19" xfId="0" applyFont="1" applyFill="1" applyBorder="1" applyAlignment="1">
      <alignment horizontal="right"/>
    </xf>
    <xf numFmtId="0" fontId="42" fillId="9" borderId="19" xfId="0" applyFont="1" applyFill="1" applyBorder="1"/>
    <xf numFmtId="0" fontId="8" fillId="0" borderId="19" xfId="0" applyFont="1" applyBorder="1"/>
    <xf numFmtId="0" fontId="3" fillId="8" borderId="19" xfId="0" applyFont="1" applyFill="1" applyBorder="1" applyAlignment="1">
      <alignment horizontal="right"/>
    </xf>
    <xf numFmtId="0" fontId="3" fillId="8" borderId="19" xfId="0" applyFont="1" applyFill="1" applyBorder="1"/>
    <xf numFmtId="0" fontId="8" fillId="0" borderId="19" xfId="0" applyFont="1" applyFill="1" applyBorder="1"/>
    <xf numFmtId="0" fontId="9" fillId="0" borderId="19" xfId="0" applyFont="1" applyFill="1" applyBorder="1"/>
    <xf numFmtId="0" fontId="9" fillId="0" borderId="19" xfId="0" applyFont="1" applyBorder="1" applyAlignment="1">
      <alignment horizontal="center"/>
    </xf>
    <xf numFmtId="0" fontId="43" fillId="9" borderId="19" xfId="0" applyFont="1" applyFill="1" applyBorder="1"/>
    <xf numFmtId="0" fontId="42" fillId="10" borderId="19" xfId="0" applyFont="1" applyFill="1" applyBorder="1"/>
    <xf numFmtId="0" fontId="8" fillId="2" borderId="19" xfId="0" applyFont="1" applyFill="1" applyBorder="1"/>
    <xf numFmtId="0" fontId="9" fillId="2" borderId="19" xfId="0" applyFont="1" applyFill="1" applyBorder="1"/>
    <xf numFmtId="0" fontId="42" fillId="0" borderId="19" xfId="0" applyFont="1" applyFill="1" applyBorder="1"/>
    <xf numFmtId="0" fontId="3" fillId="11" borderId="24" xfId="0" applyFont="1" applyFill="1" applyBorder="1"/>
    <xf numFmtId="0" fontId="9" fillId="0" borderId="25" xfId="0" applyFont="1" applyBorder="1"/>
    <xf numFmtId="0" fontId="9" fillId="0" borderId="26" xfId="0" applyFont="1" applyBorder="1"/>
    <xf numFmtId="0" fontId="3" fillId="8" borderId="27" xfId="0" applyFont="1" applyFill="1" applyBorder="1"/>
    <xf numFmtId="0" fontId="3" fillId="8" borderId="28" xfId="0" applyFont="1" applyFill="1" applyBorder="1"/>
    <xf numFmtId="0" fontId="42" fillId="3" borderId="29" xfId="0" applyFont="1" applyFill="1" applyBorder="1"/>
    <xf numFmtId="0" fontId="5" fillId="0" borderId="29" xfId="0" applyFont="1" applyBorder="1"/>
    <xf numFmtId="0" fontId="39" fillId="8" borderId="29" xfId="0" applyFont="1" applyFill="1" applyBorder="1"/>
    <xf numFmtId="0" fontId="43" fillId="9" borderId="29" xfId="0" applyFont="1" applyFill="1" applyBorder="1"/>
    <xf numFmtId="0" fontId="42" fillId="9" borderId="29" xfId="0" applyFont="1" applyFill="1" applyBorder="1"/>
    <xf numFmtId="0" fontId="3" fillId="8" borderId="29" xfId="0" applyFont="1" applyFill="1" applyBorder="1"/>
    <xf numFmtId="0" fontId="5" fillId="0" borderId="29" xfId="0" applyFont="1" applyFill="1" applyBorder="1" applyAlignment="1">
      <alignment horizontal="left"/>
    </xf>
    <xf numFmtId="0" fontId="5" fillId="0" borderId="29" xfId="0" applyFont="1" applyFill="1" applyBorder="1"/>
    <xf numFmtId="0" fontId="5" fillId="0" borderId="29" xfId="0" applyFont="1" applyBorder="1" applyAlignment="1">
      <alignment horizontal="left"/>
    </xf>
    <xf numFmtId="0" fontId="40" fillId="0" borderId="29" xfId="0" applyFont="1" applyBorder="1" applyAlignment="1">
      <alignment horizontal="right"/>
    </xf>
    <xf numFmtId="0" fontId="42" fillId="9" borderId="29" xfId="0" applyFont="1" applyFill="1" applyBorder="1" applyAlignment="1">
      <alignment horizontal="left"/>
    </xf>
    <xf numFmtId="0" fontId="3" fillId="8" borderId="29" xfId="0" applyFont="1" applyFill="1" applyBorder="1" applyAlignment="1">
      <alignment horizontal="left"/>
    </xf>
    <xf numFmtId="0" fontId="32" fillId="0" borderId="29" xfId="0" applyFont="1" applyBorder="1"/>
    <xf numFmtId="0" fontId="40" fillId="0" borderId="29" xfId="0" applyFont="1" applyBorder="1" applyAlignment="1">
      <alignment horizontal="right" wrapText="1"/>
    </xf>
    <xf numFmtId="0" fontId="42" fillId="10" borderId="29" xfId="0" applyFont="1" applyFill="1" applyBorder="1"/>
    <xf numFmtId="0" fontId="5" fillId="2" borderId="29" xfId="0" applyFont="1" applyFill="1" applyBorder="1" applyAlignment="1">
      <alignment horizontal="left"/>
    </xf>
    <xf numFmtId="0" fontId="5" fillId="0" borderId="30" xfId="0" applyFont="1" applyBorder="1"/>
    <xf numFmtId="0" fontId="22" fillId="0" borderId="29" xfId="0" applyFont="1" applyBorder="1"/>
    <xf numFmtId="0" fontId="5" fillId="0" borderId="31" xfId="0" applyFont="1" applyBorder="1"/>
    <xf numFmtId="0" fontId="51" fillId="11" borderId="32" xfId="0" applyFont="1" applyFill="1" applyBorder="1" applyAlignment="1">
      <alignment horizontal="center"/>
    </xf>
    <xf numFmtId="0" fontId="5" fillId="0" borderId="33" xfId="0" applyFont="1" applyFill="1" applyBorder="1"/>
    <xf numFmtId="0" fontId="3" fillId="8" borderId="23" xfId="0" applyFont="1" applyFill="1" applyBorder="1"/>
    <xf numFmtId="0" fontId="42" fillId="3" borderId="19" xfId="0" quotePrefix="1" applyFont="1" applyFill="1" applyBorder="1" applyAlignment="1">
      <alignment horizontal="right"/>
    </xf>
    <xf numFmtId="0" fontId="24" fillId="2" borderId="19" xfId="1" applyFont="1" applyFill="1" applyBorder="1" applyAlignment="1"/>
    <xf numFmtId="0" fontId="39" fillId="8" borderId="19" xfId="0" applyFont="1" applyFill="1" applyBorder="1"/>
    <xf numFmtId="49" fontId="52" fillId="9" borderId="19" xfId="0" applyNumberFormat="1" applyFont="1" applyFill="1" applyBorder="1" applyAlignment="1">
      <alignment horizontal="right"/>
    </xf>
    <xf numFmtId="49" fontId="42" fillId="9" borderId="19" xfId="0" applyNumberFormat="1" applyFont="1" applyFill="1" applyBorder="1" applyAlignment="1">
      <alignment horizontal="right"/>
    </xf>
    <xf numFmtId="0" fontId="40" fillId="0" borderId="19" xfId="0" applyFont="1" applyFill="1" applyBorder="1" applyAlignment="1"/>
    <xf numFmtId="0" fontId="20" fillId="0" borderId="19" xfId="0" applyFont="1" applyFill="1" applyBorder="1" applyAlignment="1"/>
    <xf numFmtId="0" fontId="23" fillId="0" borderId="34" xfId="0" applyFont="1" applyBorder="1"/>
    <xf numFmtId="0" fontId="40" fillId="0" borderId="19" xfId="0" applyFont="1" applyBorder="1" applyAlignment="1"/>
    <xf numFmtId="0" fontId="20" fillId="2" borderId="19" xfId="0" applyFont="1" applyFill="1" applyBorder="1" applyAlignment="1"/>
    <xf numFmtId="0" fontId="21" fillId="0" borderId="17" xfId="0" applyFont="1" applyBorder="1"/>
    <xf numFmtId="0" fontId="23" fillId="2" borderId="30" xfId="1" applyFont="1" applyFill="1" applyBorder="1" applyAlignment="1">
      <alignment horizontal="left"/>
    </xf>
    <xf numFmtId="0" fontId="9" fillId="12" borderId="17" xfId="0" applyFont="1" applyFill="1" applyBorder="1"/>
    <xf numFmtId="0" fontId="32" fillId="12" borderId="29" xfId="0" applyFont="1" applyFill="1" applyBorder="1"/>
    <xf numFmtId="0" fontId="22" fillId="2" borderId="29" xfId="1" applyFont="1" applyFill="1" applyBorder="1" applyAlignment="1">
      <alignment horizontal="left"/>
    </xf>
    <xf numFmtId="0" fontId="0" fillId="0" borderId="0" xfId="0" applyFont="1"/>
    <xf numFmtId="0" fontId="34" fillId="0" borderId="19" xfId="0" applyFont="1" applyBorder="1" applyAlignment="1">
      <alignment horizontal="right" wrapText="1"/>
    </xf>
    <xf numFmtId="0" fontId="32" fillId="0" borderId="29" xfId="0" applyFont="1" applyBorder="1" applyAlignment="1">
      <alignment horizontal="left" wrapText="1"/>
    </xf>
    <xf numFmtId="0" fontId="34" fillId="0" borderId="19" xfId="0" applyFont="1" applyFill="1" applyBorder="1" applyAlignment="1">
      <alignment horizontal="right" wrapText="1"/>
    </xf>
    <xf numFmtId="0" fontId="32" fillId="0" borderId="30" xfId="0" applyFont="1" applyFill="1" applyBorder="1" applyAlignment="1">
      <alignment horizontal="left" wrapText="1"/>
    </xf>
    <xf numFmtId="3" fontId="3" fillId="8" borderId="35" xfId="0" applyNumberFormat="1" applyFont="1" applyFill="1" applyBorder="1"/>
    <xf numFmtId="3" fontId="42" fillId="3" borderId="30" xfId="0" applyNumberFormat="1" applyFont="1" applyFill="1" applyBorder="1"/>
    <xf numFmtId="3" fontId="20" fillId="0" borderId="30" xfId="0" applyNumberFormat="1" applyFont="1" applyBorder="1"/>
    <xf numFmtId="3" fontId="7" fillId="0" borderId="30" xfId="0" applyNumberFormat="1" applyFont="1" applyBorder="1"/>
    <xf numFmtId="3" fontId="39" fillId="8" borderId="30" xfId="0" applyNumberFormat="1" applyFont="1" applyFill="1" applyBorder="1"/>
    <xf numFmtId="3" fontId="43" fillId="9" borderId="30" xfId="0" applyNumberFormat="1" applyFont="1" applyFill="1" applyBorder="1"/>
    <xf numFmtId="3" fontId="20" fillId="0" borderId="30" xfId="0" applyNumberFormat="1" applyFont="1" applyFill="1" applyBorder="1"/>
    <xf numFmtId="3" fontId="7" fillId="0" borderId="30" xfId="0" applyNumberFormat="1" applyFont="1" applyFill="1" applyBorder="1"/>
    <xf numFmtId="3" fontId="42" fillId="9" borderId="30" xfId="0" applyNumberFormat="1" applyFont="1" applyFill="1" applyBorder="1"/>
    <xf numFmtId="3" fontId="40" fillId="0" borderId="30" xfId="0" applyNumberFormat="1" applyFont="1" applyBorder="1"/>
    <xf numFmtId="3" fontId="3" fillId="8" borderId="30" xfId="0" applyNumberFormat="1" applyFont="1" applyFill="1" applyBorder="1"/>
    <xf numFmtId="3" fontId="40" fillId="0" borderId="30" xfId="0" applyNumberFormat="1" applyFont="1" applyFill="1" applyBorder="1"/>
    <xf numFmtId="3" fontId="7" fillId="2" borderId="30" xfId="0" applyNumberFormat="1" applyFont="1" applyFill="1" applyBorder="1"/>
    <xf numFmtId="3" fontId="20" fillId="0" borderId="30" xfId="0" applyNumberFormat="1" applyFont="1" applyBorder="1" applyAlignment="1"/>
    <xf numFmtId="3" fontId="7" fillId="0" borderId="30" xfId="0" applyNumberFormat="1" applyFont="1" applyBorder="1" applyAlignment="1">
      <alignment horizontal="right"/>
    </xf>
    <xf numFmtId="3" fontId="53" fillId="0" borderId="30" xfId="0" applyNumberFormat="1" applyFont="1" applyFill="1" applyBorder="1"/>
    <xf numFmtId="3" fontId="23" fillId="0" borderId="30" xfId="0" applyNumberFormat="1" applyFont="1" applyFill="1" applyBorder="1"/>
    <xf numFmtId="3" fontId="52" fillId="9" borderId="30" xfId="0" applyNumberFormat="1" applyFont="1" applyFill="1" applyBorder="1"/>
    <xf numFmtId="3" fontId="24" fillId="0" borderId="30" xfId="0" applyNumberFormat="1" applyFont="1" applyFill="1" applyBorder="1"/>
    <xf numFmtId="3" fontId="42" fillId="10" borderId="30" xfId="0" applyNumberFormat="1" applyFont="1" applyFill="1" applyBorder="1"/>
    <xf numFmtId="3" fontId="20" fillId="2" borderId="30" xfId="0" applyNumberFormat="1" applyFont="1" applyFill="1" applyBorder="1"/>
    <xf numFmtId="3" fontId="20" fillId="0" borderId="30" xfId="0" applyNumberFormat="1" applyFont="1" applyFill="1" applyBorder="1" applyAlignment="1"/>
    <xf numFmtId="3" fontId="23" fillId="0" borderId="30" xfId="0" applyNumberFormat="1" applyFont="1" applyBorder="1"/>
    <xf numFmtId="3" fontId="53" fillId="0" borderId="30" xfId="0" applyNumberFormat="1" applyFont="1" applyFill="1" applyBorder="1" applyAlignment="1">
      <alignment horizontal="right"/>
    </xf>
    <xf numFmtId="3" fontId="25" fillId="0" borderId="30" xfId="0" applyNumberFormat="1" applyFont="1" applyFill="1" applyBorder="1"/>
    <xf numFmtId="3" fontId="26" fillId="0" borderId="30" xfId="0" applyNumberFormat="1" applyFont="1" applyFill="1" applyBorder="1"/>
    <xf numFmtId="3" fontId="40" fillId="0" borderId="36" xfId="0" applyNumberFormat="1" applyFont="1" applyBorder="1"/>
    <xf numFmtId="3" fontId="7" fillId="0" borderId="36" xfId="0" applyNumberFormat="1" applyFont="1" applyBorder="1"/>
    <xf numFmtId="3" fontId="51" fillId="11" borderId="37" xfId="0" applyNumberFormat="1" applyFont="1" applyFill="1" applyBorder="1"/>
    <xf numFmtId="3" fontId="53" fillId="12" borderId="30" xfId="0" applyNumberFormat="1" applyFont="1" applyFill="1" applyBorder="1"/>
    <xf numFmtId="0" fontId="8" fillId="0" borderId="19" xfId="0" applyFont="1" applyBorder="1" applyAlignment="1">
      <alignment wrapText="1"/>
    </xf>
    <xf numFmtId="0" fontId="24" fillId="2" borderId="19" xfId="1" applyFont="1" applyFill="1" applyBorder="1" applyAlignment="1">
      <alignment wrapText="1"/>
    </xf>
    <xf numFmtId="3" fontId="20" fillId="0" borderId="30" xfId="0" applyNumberFormat="1" applyFont="1" applyBorder="1" applyAlignment="1">
      <alignment wrapText="1"/>
    </xf>
    <xf numFmtId="0" fontId="23" fillId="0" borderId="0" xfId="0" applyFont="1" applyAlignment="1">
      <alignment wrapText="1"/>
    </xf>
    <xf numFmtId="3" fontId="55" fillId="0" borderId="30" xfId="0" applyNumberFormat="1" applyFont="1" applyFill="1" applyBorder="1" applyAlignment="1">
      <alignment horizontal="right"/>
    </xf>
    <xf numFmtId="3" fontId="55" fillId="0" borderId="30" xfId="0" applyNumberFormat="1" applyFont="1" applyFill="1" applyBorder="1"/>
    <xf numFmtId="0" fontId="32" fillId="0" borderId="30" xfId="0" applyFont="1" applyBorder="1" applyAlignment="1">
      <alignment horizontal="left"/>
    </xf>
    <xf numFmtId="0" fontId="34" fillId="0" borderId="19" xfId="0" applyFont="1" applyBorder="1" applyAlignment="1">
      <alignment horizontal="right"/>
    </xf>
    <xf numFmtId="3" fontId="53" fillId="0" borderId="30" xfId="0" applyNumberFormat="1" applyFont="1" applyBorder="1" applyAlignment="1"/>
    <xf numFmtId="0" fontId="22" fillId="0" borderId="38" xfId="0" applyFont="1" applyFill="1" applyBorder="1"/>
    <xf numFmtId="0" fontId="5" fillId="0" borderId="30" xfId="0" applyFont="1" applyFill="1" applyBorder="1"/>
    <xf numFmtId="0" fontId="42" fillId="9" borderId="30" xfId="0" applyFont="1" applyFill="1" applyBorder="1"/>
    <xf numFmtId="3" fontId="56" fillId="9" borderId="30" xfId="0" applyNumberFormat="1" applyFont="1" applyFill="1" applyBorder="1"/>
    <xf numFmtId="3" fontId="53" fillId="0" borderId="30" xfId="0" applyNumberFormat="1" applyFont="1" applyBorder="1"/>
    <xf numFmtId="0" fontId="42" fillId="7" borderId="19" xfId="0" applyFont="1" applyFill="1" applyBorder="1"/>
    <xf numFmtId="3" fontId="42" fillId="7" borderId="30" xfId="0" applyNumberFormat="1" applyFont="1" applyFill="1" applyBorder="1"/>
    <xf numFmtId="3" fontId="53" fillId="7" borderId="30" xfId="0" applyNumberFormat="1" applyFont="1" applyFill="1" applyBorder="1"/>
    <xf numFmtId="3" fontId="40" fillId="7" borderId="30" xfId="0" applyNumberFormat="1" applyFont="1" applyFill="1" applyBorder="1"/>
    <xf numFmtId="0" fontId="34" fillId="7" borderId="19" xfId="0" applyFont="1" applyFill="1" applyBorder="1"/>
    <xf numFmtId="0" fontId="32" fillId="7" borderId="30" xfId="0" applyFont="1" applyFill="1" applyBorder="1"/>
    <xf numFmtId="0" fontId="21" fillId="2" borderId="19" xfId="1" applyFont="1" applyFill="1" applyBorder="1" applyAlignment="1">
      <alignment horizontal="right" wrapText="1"/>
    </xf>
    <xf numFmtId="0" fontId="22" fillId="2" borderId="30" xfId="1" applyFont="1" applyFill="1" applyBorder="1" applyAlignment="1">
      <alignment horizontal="left" wrapText="1"/>
    </xf>
    <xf numFmtId="0" fontId="31" fillId="0" borderId="42" xfId="0" applyFont="1" applyBorder="1" applyAlignment="1">
      <alignment horizontal="center" vertical="center"/>
    </xf>
    <xf numFmtId="0" fontId="31" fillId="0" borderId="43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44" xfId="0" applyFont="1" applyBorder="1" applyAlignment="1">
      <alignment horizontal="center" vertical="center"/>
    </xf>
    <xf numFmtId="0" fontId="31" fillId="0" borderId="45" xfId="0" applyFont="1" applyBorder="1" applyAlignment="1">
      <alignment horizontal="center" vertical="center"/>
    </xf>
    <xf numFmtId="0" fontId="31" fillId="0" borderId="42" xfId="0" applyFont="1" applyBorder="1" applyAlignment="1">
      <alignment horizontal="right" vertical="center"/>
    </xf>
    <xf numFmtId="0" fontId="31" fillId="0" borderId="43" xfId="0" applyFont="1" applyBorder="1" applyAlignment="1">
      <alignment horizontal="right" vertical="center"/>
    </xf>
    <xf numFmtId="0" fontId="31" fillId="0" borderId="14" xfId="0" applyFont="1" applyBorder="1" applyAlignment="1">
      <alignment horizontal="right" vertical="center"/>
    </xf>
    <xf numFmtId="0" fontId="31" fillId="0" borderId="39" xfId="0" applyFont="1" applyBorder="1" applyAlignment="1">
      <alignment horizontal="center" vertical="center" wrapText="1"/>
    </xf>
    <xf numFmtId="0" fontId="31" fillId="0" borderId="40" xfId="0" applyFont="1" applyBorder="1" applyAlignment="1">
      <alignment horizontal="center" vertical="center" wrapText="1"/>
    </xf>
    <xf numFmtId="0" fontId="31" fillId="0" borderId="4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24" fillId="2" borderId="19" xfId="1" applyFont="1" applyFill="1" applyBorder="1" applyAlignment="1">
      <alignment horizontal="right" wrapText="1"/>
    </xf>
    <xf numFmtId="0" fontId="24" fillId="2" borderId="30" xfId="1" applyFont="1" applyFill="1" applyBorder="1" applyAlignment="1">
      <alignment horizontal="right" wrapText="1"/>
    </xf>
    <xf numFmtId="0" fontId="3" fillId="0" borderId="0" xfId="0" applyFont="1" applyBorder="1" applyAlignment="1">
      <alignment horizontal="center"/>
    </xf>
    <xf numFmtId="0" fontId="24" fillId="2" borderId="19" xfId="1" applyFont="1" applyFill="1" applyBorder="1" applyAlignment="1">
      <alignment horizontal="left" wrapText="1"/>
    </xf>
    <xf numFmtId="0" fontId="24" fillId="2" borderId="30" xfId="1" applyFont="1" applyFill="1" applyBorder="1" applyAlignment="1">
      <alignment horizontal="left" wrapText="1"/>
    </xf>
    <xf numFmtId="0" fontId="20" fillId="0" borderId="19" xfId="0" applyFont="1" applyFill="1" applyBorder="1" applyAlignment="1">
      <alignment horizontal="right"/>
    </xf>
    <xf numFmtId="0" fontId="20" fillId="0" borderId="30" xfId="0" applyFont="1" applyFill="1" applyBorder="1" applyAlignment="1">
      <alignment horizontal="right"/>
    </xf>
    <xf numFmtId="0" fontId="20" fillId="0" borderId="19" xfId="0" applyFont="1" applyBorder="1" applyAlignment="1">
      <alignment horizontal="right"/>
    </xf>
    <xf numFmtId="0" fontId="20" fillId="0" borderId="30" xfId="0" applyFont="1" applyBorder="1" applyAlignment="1">
      <alignment horizontal="right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40" fillId="0" borderId="19" xfId="0" applyFont="1" applyBorder="1" applyAlignment="1">
      <alignment horizontal="right"/>
    </xf>
    <xf numFmtId="0" fontId="40" fillId="0" borderId="30" xfId="0" applyFont="1" applyBorder="1" applyAlignment="1">
      <alignment horizontal="right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20" fillId="0" borderId="19" xfId="0" applyFont="1" applyBorder="1" applyAlignment="1">
      <alignment horizontal="right" wrapText="1"/>
    </xf>
    <xf numFmtId="0" fontId="20" fillId="0" borderId="30" xfId="0" applyFont="1" applyBorder="1" applyAlignment="1">
      <alignment horizontal="right" wrapText="1"/>
    </xf>
    <xf numFmtId="0" fontId="40" fillId="0" borderId="19" xfId="0" applyFont="1" applyBorder="1" applyAlignment="1">
      <alignment horizontal="right" wrapText="1"/>
    </xf>
    <xf numFmtId="0" fontId="40" fillId="0" borderId="30" xfId="0" applyFont="1" applyBorder="1" applyAlignment="1">
      <alignment horizontal="right" wrapText="1"/>
    </xf>
    <xf numFmtId="0" fontId="20" fillId="0" borderId="19" xfId="0" applyFont="1" applyFill="1" applyBorder="1" applyAlignment="1">
      <alignment horizontal="right" wrapText="1"/>
    </xf>
    <xf numFmtId="0" fontId="20" fillId="0" borderId="30" xfId="0" applyFont="1" applyFill="1" applyBorder="1" applyAlignment="1">
      <alignment horizontal="right" wrapText="1"/>
    </xf>
    <xf numFmtId="0" fontId="20" fillId="0" borderId="19" xfId="0" applyFont="1" applyFill="1" applyBorder="1" applyAlignment="1">
      <alignment horizontal="left" wrapText="1"/>
    </xf>
    <xf numFmtId="0" fontId="20" fillId="0" borderId="30" xfId="0" applyFont="1" applyFill="1" applyBorder="1" applyAlignment="1">
      <alignment horizontal="left" wrapText="1"/>
    </xf>
    <xf numFmtId="0" fontId="20" fillId="0" borderId="19" xfId="0" applyFont="1" applyBorder="1" applyAlignment="1">
      <alignment horizontal="left" wrapText="1"/>
    </xf>
    <xf numFmtId="0" fontId="20" fillId="0" borderId="30" xfId="0" applyFont="1" applyBorder="1" applyAlignment="1">
      <alignment horizontal="left" wrapText="1"/>
    </xf>
    <xf numFmtId="0" fontId="20" fillId="2" borderId="19" xfId="0" applyFont="1" applyFill="1" applyBorder="1" applyAlignment="1">
      <alignment horizontal="right" wrapText="1"/>
    </xf>
    <xf numFmtId="0" fontId="20" fillId="2" borderId="30" xfId="0" applyFont="1" applyFill="1" applyBorder="1" applyAlignment="1">
      <alignment horizontal="right" wrapText="1"/>
    </xf>
    <xf numFmtId="0" fontId="40" fillId="0" borderId="19" xfId="0" applyFont="1" applyFill="1" applyBorder="1" applyAlignment="1">
      <alignment horizontal="right"/>
    </xf>
    <xf numFmtId="0" fontId="40" fillId="0" borderId="30" xfId="0" applyFont="1" applyFill="1" applyBorder="1" applyAlignment="1">
      <alignment horizontal="right"/>
    </xf>
    <xf numFmtId="0" fontId="40" fillId="0" borderId="19" xfId="0" applyFont="1" applyBorder="1" applyAlignment="1">
      <alignment horizontal="left" wrapText="1"/>
    </xf>
    <xf numFmtId="0" fontId="40" fillId="0" borderId="30" xfId="0" applyFont="1" applyBorder="1" applyAlignment="1">
      <alignment horizontal="left" wrapText="1"/>
    </xf>
    <xf numFmtId="0" fontId="40" fillId="0" borderId="19" xfId="0" applyFont="1" applyFill="1" applyBorder="1" applyAlignment="1">
      <alignment horizontal="right" wrapText="1"/>
    </xf>
    <xf numFmtId="0" fontId="40" fillId="0" borderId="30" xfId="0" applyFont="1" applyFill="1" applyBorder="1" applyAlignment="1">
      <alignment horizontal="right" wrapText="1"/>
    </xf>
    <xf numFmtId="0" fontId="20" fillId="0" borderId="48" xfId="0" applyFont="1" applyBorder="1" applyAlignment="1">
      <alignment horizontal="right"/>
    </xf>
  </cellXfs>
  <cellStyles count="3">
    <cellStyle name="Normalny" xfId="0" builtinId="0"/>
    <cellStyle name="Normalny 2" xfId="1"/>
    <cellStyle name="Procentowy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143</xdr:row>
      <xdr:rowOff>0</xdr:rowOff>
    </xdr:from>
    <xdr:to>
      <xdr:col>1</xdr:col>
      <xdr:colOff>161925</xdr:colOff>
      <xdr:row>147</xdr:row>
      <xdr:rowOff>28575</xdr:rowOff>
    </xdr:to>
    <xdr:sp macro="" textlink="">
      <xdr:nvSpPr>
        <xdr:cNvPr id="2070250" name="Text Box 56"/>
        <xdr:cNvSpPr txBox="1">
          <a:spLocks noChangeArrowheads="1"/>
        </xdr:cNvSpPr>
      </xdr:nvSpPr>
      <xdr:spPr bwMode="auto">
        <a:xfrm>
          <a:off x="390525" y="21212175"/>
          <a:ext cx="1619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180975</xdr:colOff>
      <xdr:row>206</xdr:row>
      <xdr:rowOff>0</xdr:rowOff>
    </xdr:from>
    <xdr:to>
      <xdr:col>3</xdr:col>
      <xdr:colOff>266700</xdr:colOff>
      <xdr:row>207</xdr:row>
      <xdr:rowOff>28575</xdr:rowOff>
    </xdr:to>
    <xdr:sp macro="" textlink="">
      <xdr:nvSpPr>
        <xdr:cNvPr id="2070251" name="Text Box 85"/>
        <xdr:cNvSpPr txBox="1">
          <a:spLocks noChangeArrowheads="1"/>
        </xdr:cNvSpPr>
      </xdr:nvSpPr>
      <xdr:spPr bwMode="auto">
        <a:xfrm>
          <a:off x="2962275" y="301180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57150</xdr:colOff>
      <xdr:row>237</xdr:row>
      <xdr:rowOff>66675</xdr:rowOff>
    </xdr:from>
    <xdr:to>
      <xdr:col>3</xdr:col>
      <xdr:colOff>133350</xdr:colOff>
      <xdr:row>238</xdr:row>
      <xdr:rowOff>66675</xdr:rowOff>
    </xdr:to>
    <xdr:sp macro="" textlink="">
      <xdr:nvSpPr>
        <xdr:cNvPr id="2070252" name="Text Box 138"/>
        <xdr:cNvSpPr txBox="1">
          <a:spLocks noChangeArrowheads="1"/>
        </xdr:cNvSpPr>
      </xdr:nvSpPr>
      <xdr:spPr bwMode="auto">
        <a:xfrm>
          <a:off x="2838450" y="348805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85725</xdr:colOff>
      <xdr:row>4</xdr:row>
      <xdr:rowOff>19050</xdr:rowOff>
    </xdr:to>
    <xdr:sp macro="" textlink="">
      <xdr:nvSpPr>
        <xdr:cNvPr id="2070253" name="Text Box 183"/>
        <xdr:cNvSpPr txBox="1">
          <a:spLocks noChangeArrowheads="1"/>
        </xdr:cNvSpPr>
      </xdr:nvSpPr>
      <xdr:spPr bwMode="auto">
        <a:xfrm>
          <a:off x="2524125" y="952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3</xdr:row>
      <xdr:rowOff>66675</xdr:rowOff>
    </xdr:from>
    <xdr:to>
      <xdr:col>3</xdr:col>
      <xdr:colOff>361950</xdr:colOff>
      <xdr:row>4</xdr:row>
      <xdr:rowOff>76200</xdr:rowOff>
    </xdr:to>
    <xdr:sp macro="" textlink="">
      <xdr:nvSpPr>
        <xdr:cNvPr id="2070254" name="Text Box 2"/>
        <xdr:cNvSpPr txBox="1">
          <a:spLocks noChangeArrowheads="1"/>
        </xdr:cNvSpPr>
      </xdr:nvSpPr>
      <xdr:spPr bwMode="auto">
        <a:xfrm>
          <a:off x="3133725" y="76200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34</xdr:row>
      <xdr:rowOff>0</xdr:rowOff>
    </xdr:from>
    <xdr:to>
      <xdr:col>3</xdr:col>
      <xdr:colOff>361950</xdr:colOff>
      <xdr:row>35</xdr:row>
      <xdr:rowOff>28575</xdr:rowOff>
    </xdr:to>
    <xdr:sp macro="" textlink="">
      <xdr:nvSpPr>
        <xdr:cNvPr id="2070255" name="Text Box 8"/>
        <xdr:cNvSpPr txBox="1">
          <a:spLocks noChangeArrowheads="1"/>
        </xdr:cNvSpPr>
      </xdr:nvSpPr>
      <xdr:spPr bwMode="auto">
        <a:xfrm>
          <a:off x="3133725" y="4857750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34</xdr:row>
      <xdr:rowOff>0</xdr:rowOff>
    </xdr:from>
    <xdr:to>
      <xdr:col>3</xdr:col>
      <xdr:colOff>361950</xdr:colOff>
      <xdr:row>35</xdr:row>
      <xdr:rowOff>38100</xdr:rowOff>
    </xdr:to>
    <xdr:sp macro="" textlink="">
      <xdr:nvSpPr>
        <xdr:cNvPr id="2070256" name="Text Box 9"/>
        <xdr:cNvSpPr txBox="1">
          <a:spLocks noChangeArrowheads="1"/>
        </xdr:cNvSpPr>
      </xdr:nvSpPr>
      <xdr:spPr bwMode="auto">
        <a:xfrm>
          <a:off x="3133725" y="4857750"/>
          <a:ext cx="95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73</xdr:row>
      <xdr:rowOff>0</xdr:rowOff>
    </xdr:from>
    <xdr:to>
      <xdr:col>3</xdr:col>
      <xdr:colOff>361950</xdr:colOff>
      <xdr:row>75</xdr:row>
      <xdr:rowOff>28575</xdr:rowOff>
    </xdr:to>
    <xdr:sp macro="" textlink="">
      <xdr:nvSpPr>
        <xdr:cNvPr id="2070257" name="Text Box 15"/>
        <xdr:cNvSpPr txBox="1">
          <a:spLocks noChangeArrowheads="1"/>
        </xdr:cNvSpPr>
      </xdr:nvSpPr>
      <xdr:spPr bwMode="auto">
        <a:xfrm>
          <a:off x="3133725" y="10848975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73</xdr:row>
      <xdr:rowOff>0</xdr:rowOff>
    </xdr:from>
    <xdr:to>
      <xdr:col>3</xdr:col>
      <xdr:colOff>361950</xdr:colOff>
      <xdr:row>75</xdr:row>
      <xdr:rowOff>28575</xdr:rowOff>
    </xdr:to>
    <xdr:sp macro="" textlink="">
      <xdr:nvSpPr>
        <xdr:cNvPr id="2070258" name="Text Box 22"/>
        <xdr:cNvSpPr txBox="1">
          <a:spLocks noChangeArrowheads="1"/>
        </xdr:cNvSpPr>
      </xdr:nvSpPr>
      <xdr:spPr bwMode="auto">
        <a:xfrm>
          <a:off x="3133725" y="10848975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34</xdr:row>
      <xdr:rowOff>0</xdr:rowOff>
    </xdr:from>
    <xdr:to>
      <xdr:col>3</xdr:col>
      <xdr:colOff>361950</xdr:colOff>
      <xdr:row>35</xdr:row>
      <xdr:rowOff>28575</xdr:rowOff>
    </xdr:to>
    <xdr:sp macro="" textlink="">
      <xdr:nvSpPr>
        <xdr:cNvPr id="2070259" name="Text Box 38"/>
        <xdr:cNvSpPr txBox="1">
          <a:spLocks noChangeArrowheads="1"/>
        </xdr:cNvSpPr>
      </xdr:nvSpPr>
      <xdr:spPr bwMode="auto">
        <a:xfrm>
          <a:off x="3133725" y="4857750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34</xdr:row>
      <xdr:rowOff>0</xdr:rowOff>
    </xdr:from>
    <xdr:to>
      <xdr:col>3</xdr:col>
      <xdr:colOff>361950</xdr:colOff>
      <xdr:row>35</xdr:row>
      <xdr:rowOff>38100</xdr:rowOff>
    </xdr:to>
    <xdr:sp macro="" textlink="">
      <xdr:nvSpPr>
        <xdr:cNvPr id="2070260" name="Text Box 39"/>
        <xdr:cNvSpPr txBox="1">
          <a:spLocks noChangeArrowheads="1"/>
        </xdr:cNvSpPr>
      </xdr:nvSpPr>
      <xdr:spPr bwMode="auto">
        <a:xfrm>
          <a:off x="3133725" y="4857750"/>
          <a:ext cx="95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34</xdr:row>
      <xdr:rowOff>0</xdr:rowOff>
    </xdr:from>
    <xdr:to>
      <xdr:col>3</xdr:col>
      <xdr:colOff>361950</xdr:colOff>
      <xdr:row>35</xdr:row>
      <xdr:rowOff>28575</xdr:rowOff>
    </xdr:to>
    <xdr:sp macro="" textlink="">
      <xdr:nvSpPr>
        <xdr:cNvPr id="2070261" name="Text Box 46"/>
        <xdr:cNvSpPr txBox="1">
          <a:spLocks noChangeArrowheads="1"/>
        </xdr:cNvSpPr>
      </xdr:nvSpPr>
      <xdr:spPr bwMode="auto">
        <a:xfrm>
          <a:off x="3133725" y="4857750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34</xdr:row>
      <xdr:rowOff>0</xdr:rowOff>
    </xdr:from>
    <xdr:to>
      <xdr:col>3</xdr:col>
      <xdr:colOff>361950</xdr:colOff>
      <xdr:row>35</xdr:row>
      <xdr:rowOff>38100</xdr:rowOff>
    </xdr:to>
    <xdr:sp macro="" textlink="">
      <xdr:nvSpPr>
        <xdr:cNvPr id="2070262" name="Text Box 47"/>
        <xdr:cNvSpPr txBox="1">
          <a:spLocks noChangeArrowheads="1"/>
        </xdr:cNvSpPr>
      </xdr:nvSpPr>
      <xdr:spPr bwMode="auto">
        <a:xfrm>
          <a:off x="3133725" y="4857750"/>
          <a:ext cx="95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72</xdr:row>
      <xdr:rowOff>95250</xdr:rowOff>
    </xdr:from>
    <xdr:to>
      <xdr:col>3</xdr:col>
      <xdr:colOff>361950</xdr:colOff>
      <xdr:row>73</xdr:row>
      <xdr:rowOff>123825</xdr:rowOff>
    </xdr:to>
    <xdr:sp macro="" textlink="">
      <xdr:nvSpPr>
        <xdr:cNvPr id="2070263" name="Text Box 48"/>
        <xdr:cNvSpPr txBox="1">
          <a:spLocks noChangeArrowheads="1"/>
        </xdr:cNvSpPr>
      </xdr:nvSpPr>
      <xdr:spPr bwMode="auto">
        <a:xfrm>
          <a:off x="3133725" y="10782300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143</xdr:row>
      <xdr:rowOff>9525</xdr:rowOff>
    </xdr:from>
    <xdr:to>
      <xdr:col>3</xdr:col>
      <xdr:colOff>361950</xdr:colOff>
      <xdr:row>147</xdr:row>
      <xdr:rowOff>28575</xdr:rowOff>
    </xdr:to>
    <xdr:sp macro="" textlink="">
      <xdr:nvSpPr>
        <xdr:cNvPr id="2070264" name="Text Box 59"/>
        <xdr:cNvSpPr txBox="1">
          <a:spLocks noChangeArrowheads="1"/>
        </xdr:cNvSpPr>
      </xdr:nvSpPr>
      <xdr:spPr bwMode="auto">
        <a:xfrm>
          <a:off x="3133725" y="21221700"/>
          <a:ext cx="95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143</xdr:row>
      <xdr:rowOff>9525</xdr:rowOff>
    </xdr:from>
    <xdr:to>
      <xdr:col>3</xdr:col>
      <xdr:colOff>361950</xdr:colOff>
      <xdr:row>147</xdr:row>
      <xdr:rowOff>28575</xdr:rowOff>
    </xdr:to>
    <xdr:sp macro="" textlink="">
      <xdr:nvSpPr>
        <xdr:cNvPr id="2070265" name="Text Box 77"/>
        <xdr:cNvSpPr txBox="1">
          <a:spLocks noChangeArrowheads="1"/>
        </xdr:cNvSpPr>
      </xdr:nvSpPr>
      <xdr:spPr bwMode="auto">
        <a:xfrm>
          <a:off x="3133725" y="21221700"/>
          <a:ext cx="95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2190750</xdr:colOff>
      <xdr:row>147</xdr:row>
      <xdr:rowOff>114300</xdr:rowOff>
    </xdr:from>
    <xdr:to>
      <xdr:col>3</xdr:col>
      <xdr:colOff>352425</xdr:colOff>
      <xdr:row>147</xdr:row>
      <xdr:rowOff>161925</xdr:rowOff>
    </xdr:to>
    <xdr:sp macro="" textlink="">
      <xdr:nvSpPr>
        <xdr:cNvPr id="2070266" name="Text Box 78"/>
        <xdr:cNvSpPr txBox="1">
          <a:spLocks noChangeArrowheads="1"/>
        </xdr:cNvSpPr>
      </xdr:nvSpPr>
      <xdr:spPr bwMode="auto">
        <a:xfrm flipV="1">
          <a:off x="2524125" y="21974175"/>
          <a:ext cx="609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89</xdr:row>
      <xdr:rowOff>133350</xdr:rowOff>
    </xdr:from>
    <xdr:to>
      <xdr:col>3</xdr:col>
      <xdr:colOff>361950</xdr:colOff>
      <xdr:row>93</xdr:row>
      <xdr:rowOff>9525</xdr:rowOff>
    </xdr:to>
    <xdr:sp macro="" textlink="">
      <xdr:nvSpPr>
        <xdr:cNvPr id="2070267" name="Text Box 79"/>
        <xdr:cNvSpPr txBox="1">
          <a:spLocks noChangeArrowheads="1"/>
        </xdr:cNvSpPr>
      </xdr:nvSpPr>
      <xdr:spPr bwMode="auto">
        <a:xfrm>
          <a:off x="3133725" y="13249275"/>
          <a:ext cx="95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34</xdr:row>
      <xdr:rowOff>0</xdr:rowOff>
    </xdr:from>
    <xdr:to>
      <xdr:col>3</xdr:col>
      <xdr:colOff>361950</xdr:colOff>
      <xdr:row>35</xdr:row>
      <xdr:rowOff>28575</xdr:rowOff>
    </xdr:to>
    <xdr:sp macro="" textlink="">
      <xdr:nvSpPr>
        <xdr:cNvPr id="2070268" name="Text Box 157"/>
        <xdr:cNvSpPr txBox="1">
          <a:spLocks noChangeArrowheads="1"/>
        </xdr:cNvSpPr>
      </xdr:nvSpPr>
      <xdr:spPr bwMode="auto">
        <a:xfrm>
          <a:off x="3133725" y="4857750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34</xdr:row>
      <xdr:rowOff>0</xdr:rowOff>
    </xdr:from>
    <xdr:to>
      <xdr:col>3</xdr:col>
      <xdr:colOff>361950</xdr:colOff>
      <xdr:row>35</xdr:row>
      <xdr:rowOff>38100</xdr:rowOff>
    </xdr:to>
    <xdr:sp macro="" textlink="">
      <xdr:nvSpPr>
        <xdr:cNvPr id="2070269" name="Text Box 158"/>
        <xdr:cNvSpPr txBox="1">
          <a:spLocks noChangeArrowheads="1"/>
        </xdr:cNvSpPr>
      </xdr:nvSpPr>
      <xdr:spPr bwMode="auto">
        <a:xfrm>
          <a:off x="3133725" y="4857750"/>
          <a:ext cx="95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38</xdr:row>
      <xdr:rowOff>0</xdr:rowOff>
    </xdr:from>
    <xdr:to>
      <xdr:col>3</xdr:col>
      <xdr:colOff>361950</xdr:colOff>
      <xdr:row>39</xdr:row>
      <xdr:rowOff>28575</xdr:rowOff>
    </xdr:to>
    <xdr:sp macro="" textlink="">
      <xdr:nvSpPr>
        <xdr:cNvPr id="2070270" name="Text Box 168"/>
        <xdr:cNvSpPr txBox="1">
          <a:spLocks noChangeArrowheads="1"/>
        </xdr:cNvSpPr>
      </xdr:nvSpPr>
      <xdr:spPr bwMode="auto">
        <a:xfrm>
          <a:off x="3133725" y="5505450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38</xdr:row>
      <xdr:rowOff>0</xdr:rowOff>
    </xdr:from>
    <xdr:to>
      <xdr:col>3</xdr:col>
      <xdr:colOff>361950</xdr:colOff>
      <xdr:row>39</xdr:row>
      <xdr:rowOff>28575</xdr:rowOff>
    </xdr:to>
    <xdr:sp macro="" textlink="">
      <xdr:nvSpPr>
        <xdr:cNvPr id="2070271" name="Text Box 169"/>
        <xdr:cNvSpPr txBox="1">
          <a:spLocks noChangeArrowheads="1"/>
        </xdr:cNvSpPr>
      </xdr:nvSpPr>
      <xdr:spPr bwMode="auto">
        <a:xfrm>
          <a:off x="3133725" y="5505450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38</xdr:row>
      <xdr:rowOff>0</xdr:rowOff>
    </xdr:from>
    <xdr:to>
      <xdr:col>3</xdr:col>
      <xdr:colOff>361950</xdr:colOff>
      <xdr:row>39</xdr:row>
      <xdr:rowOff>28575</xdr:rowOff>
    </xdr:to>
    <xdr:sp macro="" textlink="">
      <xdr:nvSpPr>
        <xdr:cNvPr id="2070272" name="Text Box 170"/>
        <xdr:cNvSpPr txBox="1">
          <a:spLocks noChangeArrowheads="1"/>
        </xdr:cNvSpPr>
      </xdr:nvSpPr>
      <xdr:spPr bwMode="auto">
        <a:xfrm>
          <a:off x="3133725" y="5505450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38</xdr:row>
      <xdr:rowOff>0</xdr:rowOff>
    </xdr:from>
    <xdr:to>
      <xdr:col>3</xdr:col>
      <xdr:colOff>361950</xdr:colOff>
      <xdr:row>39</xdr:row>
      <xdr:rowOff>28575</xdr:rowOff>
    </xdr:to>
    <xdr:sp macro="" textlink="">
      <xdr:nvSpPr>
        <xdr:cNvPr id="2070273" name="Text Box 171"/>
        <xdr:cNvSpPr txBox="1">
          <a:spLocks noChangeArrowheads="1"/>
        </xdr:cNvSpPr>
      </xdr:nvSpPr>
      <xdr:spPr bwMode="auto">
        <a:xfrm>
          <a:off x="3133725" y="5505450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38</xdr:row>
      <xdr:rowOff>0</xdr:rowOff>
    </xdr:from>
    <xdr:to>
      <xdr:col>3</xdr:col>
      <xdr:colOff>361950</xdr:colOff>
      <xdr:row>39</xdr:row>
      <xdr:rowOff>28575</xdr:rowOff>
    </xdr:to>
    <xdr:sp macro="" textlink="">
      <xdr:nvSpPr>
        <xdr:cNvPr id="2070274" name="Text Box 172"/>
        <xdr:cNvSpPr txBox="1">
          <a:spLocks noChangeArrowheads="1"/>
        </xdr:cNvSpPr>
      </xdr:nvSpPr>
      <xdr:spPr bwMode="auto">
        <a:xfrm>
          <a:off x="3133725" y="5505450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38</xdr:row>
      <xdr:rowOff>0</xdr:rowOff>
    </xdr:from>
    <xdr:to>
      <xdr:col>3</xdr:col>
      <xdr:colOff>361950</xdr:colOff>
      <xdr:row>39</xdr:row>
      <xdr:rowOff>28575</xdr:rowOff>
    </xdr:to>
    <xdr:sp macro="" textlink="">
      <xdr:nvSpPr>
        <xdr:cNvPr id="2070275" name="Text Box 173"/>
        <xdr:cNvSpPr txBox="1">
          <a:spLocks noChangeArrowheads="1"/>
        </xdr:cNvSpPr>
      </xdr:nvSpPr>
      <xdr:spPr bwMode="auto">
        <a:xfrm>
          <a:off x="3133725" y="5505450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38</xdr:row>
      <xdr:rowOff>0</xdr:rowOff>
    </xdr:from>
    <xdr:to>
      <xdr:col>3</xdr:col>
      <xdr:colOff>361950</xdr:colOff>
      <xdr:row>39</xdr:row>
      <xdr:rowOff>28575</xdr:rowOff>
    </xdr:to>
    <xdr:sp macro="" textlink="">
      <xdr:nvSpPr>
        <xdr:cNvPr id="2070276" name="Text Box 174"/>
        <xdr:cNvSpPr txBox="1">
          <a:spLocks noChangeArrowheads="1"/>
        </xdr:cNvSpPr>
      </xdr:nvSpPr>
      <xdr:spPr bwMode="auto">
        <a:xfrm>
          <a:off x="3133725" y="5505450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38</xdr:row>
      <xdr:rowOff>0</xdr:rowOff>
    </xdr:from>
    <xdr:to>
      <xdr:col>3</xdr:col>
      <xdr:colOff>361950</xdr:colOff>
      <xdr:row>39</xdr:row>
      <xdr:rowOff>28575</xdr:rowOff>
    </xdr:to>
    <xdr:sp macro="" textlink="">
      <xdr:nvSpPr>
        <xdr:cNvPr id="2070277" name="Text Box 175"/>
        <xdr:cNvSpPr txBox="1">
          <a:spLocks noChangeArrowheads="1"/>
        </xdr:cNvSpPr>
      </xdr:nvSpPr>
      <xdr:spPr bwMode="auto">
        <a:xfrm>
          <a:off x="3133725" y="5505450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80</xdr:row>
      <xdr:rowOff>0</xdr:rowOff>
    </xdr:from>
    <xdr:to>
      <xdr:col>3</xdr:col>
      <xdr:colOff>361950</xdr:colOff>
      <xdr:row>85</xdr:row>
      <xdr:rowOff>28575</xdr:rowOff>
    </xdr:to>
    <xdr:sp macro="" textlink="">
      <xdr:nvSpPr>
        <xdr:cNvPr id="2070278" name="Text Box 176"/>
        <xdr:cNvSpPr txBox="1">
          <a:spLocks noChangeArrowheads="1"/>
        </xdr:cNvSpPr>
      </xdr:nvSpPr>
      <xdr:spPr bwMode="auto">
        <a:xfrm>
          <a:off x="3133725" y="11658600"/>
          <a:ext cx="952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80</xdr:row>
      <xdr:rowOff>0</xdr:rowOff>
    </xdr:from>
    <xdr:to>
      <xdr:col>3</xdr:col>
      <xdr:colOff>361950</xdr:colOff>
      <xdr:row>85</xdr:row>
      <xdr:rowOff>28575</xdr:rowOff>
    </xdr:to>
    <xdr:sp macro="" textlink="">
      <xdr:nvSpPr>
        <xdr:cNvPr id="2070279" name="Text Box 177"/>
        <xdr:cNvSpPr txBox="1">
          <a:spLocks noChangeArrowheads="1"/>
        </xdr:cNvSpPr>
      </xdr:nvSpPr>
      <xdr:spPr bwMode="auto">
        <a:xfrm>
          <a:off x="3133725" y="11658600"/>
          <a:ext cx="952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3</xdr:row>
      <xdr:rowOff>66675</xdr:rowOff>
    </xdr:from>
    <xdr:to>
      <xdr:col>3</xdr:col>
      <xdr:colOff>361950</xdr:colOff>
      <xdr:row>4</xdr:row>
      <xdr:rowOff>76200</xdr:rowOff>
    </xdr:to>
    <xdr:sp macro="" textlink="">
      <xdr:nvSpPr>
        <xdr:cNvPr id="2070280" name="Text Box 184"/>
        <xdr:cNvSpPr txBox="1">
          <a:spLocks noChangeArrowheads="1"/>
        </xdr:cNvSpPr>
      </xdr:nvSpPr>
      <xdr:spPr bwMode="auto">
        <a:xfrm>
          <a:off x="3133725" y="76200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35</xdr:row>
      <xdr:rowOff>0</xdr:rowOff>
    </xdr:from>
    <xdr:to>
      <xdr:col>3</xdr:col>
      <xdr:colOff>361950</xdr:colOff>
      <xdr:row>35</xdr:row>
      <xdr:rowOff>161925</xdr:rowOff>
    </xdr:to>
    <xdr:sp macro="" textlink="">
      <xdr:nvSpPr>
        <xdr:cNvPr id="2070281" name="Text Box 188"/>
        <xdr:cNvSpPr txBox="1">
          <a:spLocks noChangeArrowheads="1"/>
        </xdr:cNvSpPr>
      </xdr:nvSpPr>
      <xdr:spPr bwMode="auto">
        <a:xfrm>
          <a:off x="3133725" y="5019675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35</xdr:row>
      <xdr:rowOff>85725</xdr:rowOff>
    </xdr:from>
    <xdr:to>
      <xdr:col>3</xdr:col>
      <xdr:colOff>361950</xdr:colOff>
      <xdr:row>35</xdr:row>
      <xdr:rowOff>161925</xdr:rowOff>
    </xdr:to>
    <xdr:sp macro="" textlink="">
      <xdr:nvSpPr>
        <xdr:cNvPr id="2070282" name="Text Box 189"/>
        <xdr:cNvSpPr txBox="1">
          <a:spLocks noChangeArrowheads="1"/>
        </xdr:cNvSpPr>
      </xdr:nvSpPr>
      <xdr:spPr bwMode="auto">
        <a:xfrm>
          <a:off x="3133725" y="5105400"/>
          <a:ext cx="9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35</xdr:row>
      <xdr:rowOff>0</xdr:rowOff>
    </xdr:from>
    <xdr:to>
      <xdr:col>3</xdr:col>
      <xdr:colOff>361950</xdr:colOff>
      <xdr:row>35</xdr:row>
      <xdr:rowOff>161925</xdr:rowOff>
    </xdr:to>
    <xdr:sp macro="" textlink="">
      <xdr:nvSpPr>
        <xdr:cNvPr id="2070283" name="Text Box 190"/>
        <xdr:cNvSpPr txBox="1">
          <a:spLocks noChangeArrowheads="1"/>
        </xdr:cNvSpPr>
      </xdr:nvSpPr>
      <xdr:spPr bwMode="auto">
        <a:xfrm>
          <a:off x="3133725" y="5019675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35</xdr:row>
      <xdr:rowOff>85725</xdr:rowOff>
    </xdr:from>
    <xdr:to>
      <xdr:col>3</xdr:col>
      <xdr:colOff>361950</xdr:colOff>
      <xdr:row>35</xdr:row>
      <xdr:rowOff>161925</xdr:rowOff>
    </xdr:to>
    <xdr:sp macro="" textlink="">
      <xdr:nvSpPr>
        <xdr:cNvPr id="2070284" name="Text Box 191"/>
        <xdr:cNvSpPr txBox="1">
          <a:spLocks noChangeArrowheads="1"/>
        </xdr:cNvSpPr>
      </xdr:nvSpPr>
      <xdr:spPr bwMode="auto">
        <a:xfrm>
          <a:off x="3133725" y="5105400"/>
          <a:ext cx="9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35</xdr:row>
      <xdr:rowOff>0</xdr:rowOff>
    </xdr:from>
    <xdr:to>
      <xdr:col>3</xdr:col>
      <xdr:colOff>361950</xdr:colOff>
      <xdr:row>35</xdr:row>
      <xdr:rowOff>161925</xdr:rowOff>
    </xdr:to>
    <xdr:sp macro="" textlink="">
      <xdr:nvSpPr>
        <xdr:cNvPr id="2070285" name="Text Box 192"/>
        <xdr:cNvSpPr txBox="1">
          <a:spLocks noChangeArrowheads="1"/>
        </xdr:cNvSpPr>
      </xdr:nvSpPr>
      <xdr:spPr bwMode="auto">
        <a:xfrm>
          <a:off x="3133725" y="5019675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35</xdr:row>
      <xdr:rowOff>85725</xdr:rowOff>
    </xdr:from>
    <xdr:to>
      <xdr:col>3</xdr:col>
      <xdr:colOff>361950</xdr:colOff>
      <xdr:row>35</xdr:row>
      <xdr:rowOff>161925</xdr:rowOff>
    </xdr:to>
    <xdr:sp macro="" textlink="">
      <xdr:nvSpPr>
        <xdr:cNvPr id="2070286" name="Text Box 193"/>
        <xdr:cNvSpPr txBox="1">
          <a:spLocks noChangeArrowheads="1"/>
        </xdr:cNvSpPr>
      </xdr:nvSpPr>
      <xdr:spPr bwMode="auto">
        <a:xfrm>
          <a:off x="3133725" y="5105400"/>
          <a:ext cx="9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35</xdr:row>
      <xdr:rowOff>0</xdr:rowOff>
    </xdr:from>
    <xdr:to>
      <xdr:col>3</xdr:col>
      <xdr:colOff>361950</xdr:colOff>
      <xdr:row>35</xdr:row>
      <xdr:rowOff>161925</xdr:rowOff>
    </xdr:to>
    <xdr:sp macro="" textlink="">
      <xdr:nvSpPr>
        <xdr:cNvPr id="2070287" name="Text Box 194"/>
        <xdr:cNvSpPr txBox="1">
          <a:spLocks noChangeArrowheads="1"/>
        </xdr:cNvSpPr>
      </xdr:nvSpPr>
      <xdr:spPr bwMode="auto">
        <a:xfrm>
          <a:off x="3133725" y="5019675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35</xdr:row>
      <xdr:rowOff>85725</xdr:rowOff>
    </xdr:from>
    <xdr:to>
      <xdr:col>3</xdr:col>
      <xdr:colOff>361950</xdr:colOff>
      <xdr:row>35</xdr:row>
      <xdr:rowOff>161925</xdr:rowOff>
    </xdr:to>
    <xdr:sp macro="" textlink="">
      <xdr:nvSpPr>
        <xdr:cNvPr id="2070288" name="Text Box 195"/>
        <xdr:cNvSpPr txBox="1">
          <a:spLocks noChangeArrowheads="1"/>
        </xdr:cNvSpPr>
      </xdr:nvSpPr>
      <xdr:spPr bwMode="auto">
        <a:xfrm>
          <a:off x="3133725" y="5105400"/>
          <a:ext cx="9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38</xdr:row>
      <xdr:rowOff>0</xdr:rowOff>
    </xdr:from>
    <xdr:to>
      <xdr:col>3</xdr:col>
      <xdr:colOff>361950</xdr:colOff>
      <xdr:row>39</xdr:row>
      <xdr:rowOff>28575</xdr:rowOff>
    </xdr:to>
    <xdr:sp macro="" textlink="">
      <xdr:nvSpPr>
        <xdr:cNvPr id="2070289" name="Text Box 198"/>
        <xdr:cNvSpPr txBox="1">
          <a:spLocks noChangeArrowheads="1"/>
        </xdr:cNvSpPr>
      </xdr:nvSpPr>
      <xdr:spPr bwMode="auto">
        <a:xfrm>
          <a:off x="3133725" y="5505450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38</xdr:row>
      <xdr:rowOff>0</xdr:rowOff>
    </xdr:from>
    <xdr:to>
      <xdr:col>3</xdr:col>
      <xdr:colOff>361950</xdr:colOff>
      <xdr:row>39</xdr:row>
      <xdr:rowOff>28575</xdr:rowOff>
    </xdr:to>
    <xdr:sp macro="" textlink="">
      <xdr:nvSpPr>
        <xdr:cNvPr id="2070290" name="Text Box 199"/>
        <xdr:cNvSpPr txBox="1">
          <a:spLocks noChangeArrowheads="1"/>
        </xdr:cNvSpPr>
      </xdr:nvSpPr>
      <xdr:spPr bwMode="auto">
        <a:xfrm>
          <a:off x="3133725" y="5505450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38</xdr:row>
      <xdr:rowOff>0</xdr:rowOff>
    </xdr:from>
    <xdr:to>
      <xdr:col>3</xdr:col>
      <xdr:colOff>361950</xdr:colOff>
      <xdr:row>39</xdr:row>
      <xdr:rowOff>28575</xdr:rowOff>
    </xdr:to>
    <xdr:sp macro="" textlink="">
      <xdr:nvSpPr>
        <xdr:cNvPr id="2070291" name="Text Box 200"/>
        <xdr:cNvSpPr txBox="1">
          <a:spLocks noChangeArrowheads="1"/>
        </xdr:cNvSpPr>
      </xdr:nvSpPr>
      <xdr:spPr bwMode="auto">
        <a:xfrm>
          <a:off x="3133725" y="5505450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38</xdr:row>
      <xdr:rowOff>0</xdr:rowOff>
    </xdr:from>
    <xdr:to>
      <xdr:col>3</xdr:col>
      <xdr:colOff>361950</xdr:colOff>
      <xdr:row>39</xdr:row>
      <xdr:rowOff>28575</xdr:rowOff>
    </xdr:to>
    <xdr:sp macro="" textlink="">
      <xdr:nvSpPr>
        <xdr:cNvPr id="2070292" name="Text Box 201"/>
        <xdr:cNvSpPr txBox="1">
          <a:spLocks noChangeArrowheads="1"/>
        </xdr:cNvSpPr>
      </xdr:nvSpPr>
      <xdr:spPr bwMode="auto">
        <a:xfrm>
          <a:off x="3133725" y="5505450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38</xdr:row>
      <xdr:rowOff>0</xdr:rowOff>
    </xdr:from>
    <xdr:to>
      <xdr:col>3</xdr:col>
      <xdr:colOff>361950</xdr:colOff>
      <xdr:row>39</xdr:row>
      <xdr:rowOff>28575</xdr:rowOff>
    </xdr:to>
    <xdr:sp macro="" textlink="">
      <xdr:nvSpPr>
        <xdr:cNvPr id="2070293" name="Text Box 202"/>
        <xdr:cNvSpPr txBox="1">
          <a:spLocks noChangeArrowheads="1"/>
        </xdr:cNvSpPr>
      </xdr:nvSpPr>
      <xdr:spPr bwMode="auto">
        <a:xfrm>
          <a:off x="3133725" y="5505450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38</xdr:row>
      <xdr:rowOff>0</xdr:rowOff>
    </xdr:from>
    <xdr:to>
      <xdr:col>3</xdr:col>
      <xdr:colOff>361950</xdr:colOff>
      <xdr:row>39</xdr:row>
      <xdr:rowOff>28575</xdr:rowOff>
    </xdr:to>
    <xdr:sp macro="" textlink="">
      <xdr:nvSpPr>
        <xdr:cNvPr id="2070294" name="Text Box 203"/>
        <xdr:cNvSpPr txBox="1">
          <a:spLocks noChangeArrowheads="1"/>
        </xdr:cNvSpPr>
      </xdr:nvSpPr>
      <xdr:spPr bwMode="auto">
        <a:xfrm>
          <a:off x="3133725" y="5505450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38</xdr:row>
      <xdr:rowOff>0</xdr:rowOff>
    </xdr:from>
    <xdr:to>
      <xdr:col>3</xdr:col>
      <xdr:colOff>361950</xdr:colOff>
      <xdr:row>39</xdr:row>
      <xdr:rowOff>28575</xdr:rowOff>
    </xdr:to>
    <xdr:sp macro="" textlink="">
      <xdr:nvSpPr>
        <xdr:cNvPr id="2070295" name="Text Box 204"/>
        <xdr:cNvSpPr txBox="1">
          <a:spLocks noChangeArrowheads="1"/>
        </xdr:cNvSpPr>
      </xdr:nvSpPr>
      <xdr:spPr bwMode="auto">
        <a:xfrm>
          <a:off x="3133725" y="5505450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73</xdr:row>
      <xdr:rowOff>0</xdr:rowOff>
    </xdr:from>
    <xdr:to>
      <xdr:col>3</xdr:col>
      <xdr:colOff>361950</xdr:colOff>
      <xdr:row>75</xdr:row>
      <xdr:rowOff>28575</xdr:rowOff>
    </xdr:to>
    <xdr:sp macro="" textlink="">
      <xdr:nvSpPr>
        <xdr:cNvPr id="2070296" name="Text Box 207"/>
        <xdr:cNvSpPr txBox="1">
          <a:spLocks noChangeArrowheads="1"/>
        </xdr:cNvSpPr>
      </xdr:nvSpPr>
      <xdr:spPr bwMode="auto">
        <a:xfrm>
          <a:off x="3133725" y="10848975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73</xdr:row>
      <xdr:rowOff>0</xdr:rowOff>
    </xdr:from>
    <xdr:to>
      <xdr:col>3</xdr:col>
      <xdr:colOff>361950</xdr:colOff>
      <xdr:row>75</xdr:row>
      <xdr:rowOff>28575</xdr:rowOff>
    </xdr:to>
    <xdr:sp macro="" textlink="">
      <xdr:nvSpPr>
        <xdr:cNvPr id="2070297" name="Text Box 208"/>
        <xdr:cNvSpPr txBox="1">
          <a:spLocks noChangeArrowheads="1"/>
        </xdr:cNvSpPr>
      </xdr:nvSpPr>
      <xdr:spPr bwMode="auto">
        <a:xfrm>
          <a:off x="3133725" y="10848975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73</xdr:row>
      <xdr:rowOff>0</xdr:rowOff>
    </xdr:from>
    <xdr:to>
      <xdr:col>3</xdr:col>
      <xdr:colOff>361950</xdr:colOff>
      <xdr:row>75</xdr:row>
      <xdr:rowOff>28575</xdr:rowOff>
    </xdr:to>
    <xdr:sp macro="" textlink="">
      <xdr:nvSpPr>
        <xdr:cNvPr id="2070298" name="Text Box 209"/>
        <xdr:cNvSpPr txBox="1">
          <a:spLocks noChangeArrowheads="1"/>
        </xdr:cNvSpPr>
      </xdr:nvSpPr>
      <xdr:spPr bwMode="auto">
        <a:xfrm>
          <a:off x="3133725" y="10848975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73</xdr:row>
      <xdr:rowOff>0</xdr:rowOff>
    </xdr:from>
    <xdr:to>
      <xdr:col>3</xdr:col>
      <xdr:colOff>361950</xdr:colOff>
      <xdr:row>75</xdr:row>
      <xdr:rowOff>28575</xdr:rowOff>
    </xdr:to>
    <xdr:sp macro="" textlink="">
      <xdr:nvSpPr>
        <xdr:cNvPr id="2070299" name="Text Box 210"/>
        <xdr:cNvSpPr txBox="1">
          <a:spLocks noChangeArrowheads="1"/>
        </xdr:cNvSpPr>
      </xdr:nvSpPr>
      <xdr:spPr bwMode="auto">
        <a:xfrm>
          <a:off x="3133725" y="10848975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73</xdr:row>
      <xdr:rowOff>0</xdr:rowOff>
    </xdr:from>
    <xdr:to>
      <xdr:col>3</xdr:col>
      <xdr:colOff>361950</xdr:colOff>
      <xdr:row>75</xdr:row>
      <xdr:rowOff>28575</xdr:rowOff>
    </xdr:to>
    <xdr:sp macro="" textlink="">
      <xdr:nvSpPr>
        <xdr:cNvPr id="2070300" name="Text Box 211"/>
        <xdr:cNvSpPr txBox="1">
          <a:spLocks noChangeArrowheads="1"/>
        </xdr:cNvSpPr>
      </xdr:nvSpPr>
      <xdr:spPr bwMode="auto">
        <a:xfrm>
          <a:off x="3133725" y="10848975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85</xdr:row>
      <xdr:rowOff>0</xdr:rowOff>
    </xdr:from>
    <xdr:to>
      <xdr:col>3</xdr:col>
      <xdr:colOff>361950</xdr:colOff>
      <xdr:row>86</xdr:row>
      <xdr:rowOff>28575</xdr:rowOff>
    </xdr:to>
    <xdr:sp macro="" textlink="">
      <xdr:nvSpPr>
        <xdr:cNvPr id="2070301" name="Text Box 212"/>
        <xdr:cNvSpPr txBox="1">
          <a:spLocks noChangeArrowheads="1"/>
        </xdr:cNvSpPr>
      </xdr:nvSpPr>
      <xdr:spPr bwMode="auto">
        <a:xfrm>
          <a:off x="3133725" y="12468225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85</xdr:row>
      <xdr:rowOff>0</xdr:rowOff>
    </xdr:from>
    <xdr:to>
      <xdr:col>3</xdr:col>
      <xdr:colOff>361950</xdr:colOff>
      <xdr:row>86</xdr:row>
      <xdr:rowOff>28575</xdr:rowOff>
    </xdr:to>
    <xdr:sp macro="" textlink="">
      <xdr:nvSpPr>
        <xdr:cNvPr id="2070302" name="Text Box 213"/>
        <xdr:cNvSpPr txBox="1">
          <a:spLocks noChangeArrowheads="1"/>
        </xdr:cNvSpPr>
      </xdr:nvSpPr>
      <xdr:spPr bwMode="auto">
        <a:xfrm>
          <a:off x="3133725" y="12468225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147</xdr:row>
      <xdr:rowOff>9525</xdr:rowOff>
    </xdr:from>
    <xdr:to>
      <xdr:col>3</xdr:col>
      <xdr:colOff>361950</xdr:colOff>
      <xdr:row>148</xdr:row>
      <xdr:rowOff>38100</xdr:rowOff>
    </xdr:to>
    <xdr:sp macro="" textlink="">
      <xdr:nvSpPr>
        <xdr:cNvPr id="2070303" name="Text Box 222"/>
        <xdr:cNvSpPr txBox="1">
          <a:spLocks noChangeArrowheads="1"/>
        </xdr:cNvSpPr>
      </xdr:nvSpPr>
      <xdr:spPr bwMode="auto">
        <a:xfrm>
          <a:off x="3133725" y="21869400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147</xdr:row>
      <xdr:rowOff>9525</xdr:rowOff>
    </xdr:from>
    <xdr:to>
      <xdr:col>3</xdr:col>
      <xdr:colOff>361950</xdr:colOff>
      <xdr:row>148</xdr:row>
      <xdr:rowOff>38100</xdr:rowOff>
    </xdr:to>
    <xdr:sp macro="" textlink="">
      <xdr:nvSpPr>
        <xdr:cNvPr id="2070304" name="Text Box 223"/>
        <xdr:cNvSpPr txBox="1">
          <a:spLocks noChangeArrowheads="1"/>
        </xdr:cNvSpPr>
      </xdr:nvSpPr>
      <xdr:spPr bwMode="auto">
        <a:xfrm>
          <a:off x="3133725" y="21869400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34</xdr:row>
      <xdr:rowOff>0</xdr:rowOff>
    </xdr:from>
    <xdr:to>
      <xdr:col>3</xdr:col>
      <xdr:colOff>361950</xdr:colOff>
      <xdr:row>35</xdr:row>
      <xdr:rowOff>28575</xdr:rowOff>
    </xdr:to>
    <xdr:sp macro="" textlink="">
      <xdr:nvSpPr>
        <xdr:cNvPr id="2070305" name="Text Box 230"/>
        <xdr:cNvSpPr txBox="1">
          <a:spLocks noChangeArrowheads="1"/>
        </xdr:cNvSpPr>
      </xdr:nvSpPr>
      <xdr:spPr bwMode="auto">
        <a:xfrm>
          <a:off x="3133725" y="4857750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34</xdr:row>
      <xdr:rowOff>0</xdr:rowOff>
    </xdr:from>
    <xdr:to>
      <xdr:col>3</xdr:col>
      <xdr:colOff>361950</xdr:colOff>
      <xdr:row>35</xdr:row>
      <xdr:rowOff>38100</xdr:rowOff>
    </xdr:to>
    <xdr:sp macro="" textlink="">
      <xdr:nvSpPr>
        <xdr:cNvPr id="2070306" name="Text Box 231"/>
        <xdr:cNvSpPr txBox="1">
          <a:spLocks noChangeArrowheads="1"/>
        </xdr:cNvSpPr>
      </xdr:nvSpPr>
      <xdr:spPr bwMode="auto">
        <a:xfrm>
          <a:off x="3133725" y="4857750"/>
          <a:ext cx="95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38</xdr:row>
      <xdr:rowOff>0</xdr:rowOff>
    </xdr:from>
    <xdr:to>
      <xdr:col>3</xdr:col>
      <xdr:colOff>361950</xdr:colOff>
      <xdr:row>39</xdr:row>
      <xdr:rowOff>28575</xdr:rowOff>
    </xdr:to>
    <xdr:sp macro="" textlink="">
      <xdr:nvSpPr>
        <xdr:cNvPr id="2070307" name="Text Box 260"/>
        <xdr:cNvSpPr txBox="1">
          <a:spLocks noChangeArrowheads="1"/>
        </xdr:cNvSpPr>
      </xdr:nvSpPr>
      <xdr:spPr bwMode="auto">
        <a:xfrm>
          <a:off x="3133725" y="5505450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38</xdr:row>
      <xdr:rowOff>0</xdr:rowOff>
    </xdr:from>
    <xdr:to>
      <xdr:col>3</xdr:col>
      <xdr:colOff>361950</xdr:colOff>
      <xdr:row>39</xdr:row>
      <xdr:rowOff>28575</xdr:rowOff>
    </xdr:to>
    <xdr:sp macro="" textlink="">
      <xdr:nvSpPr>
        <xdr:cNvPr id="2070308" name="Text Box 261"/>
        <xdr:cNvSpPr txBox="1">
          <a:spLocks noChangeArrowheads="1"/>
        </xdr:cNvSpPr>
      </xdr:nvSpPr>
      <xdr:spPr bwMode="auto">
        <a:xfrm>
          <a:off x="3133725" y="5505450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72</xdr:row>
      <xdr:rowOff>95250</xdr:rowOff>
    </xdr:from>
    <xdr:to>
      <xdr:col>3</xdr:col>
      <xdr:colOff>361950</xdr:colOff>
      <xdr:row>73</xdr:row>
      <xdr:rowOff>123825</xdr:rowOff>
    </xdr:to>
    <xdr:sp macro="" textlink="">
      <xdr:nvSpPr>
        <xdr:cNvPr id="2070309" name="Text Box 286"/>
        <xdr:cNvSpPr txBox="1">
          <a:spLocks noChangeArrowheads="1"/>
        </xdr:cNvSpPr>
      </xdr:nvSpPr>
      <xdr:spPr bwMode="auto">
        <a:xfrm>
          <a:off x="3133725" y="10782300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72</xdr:row>
      <xdr:rowOff>95250</xdr:rowOff>
    </xdr:from>
    <xdr:to>
      <xdr:col>3</xdr:col>
      <xdr:colOff>361950</xdr:colOff>
      <xdr:row>73</xdr:row>
      <xdr:rowOff>123825</xdr:rowOff>
    </xdr:to>
    <xdr:sp macro="" textlink="">
      <xdr:nvSpPr>
        <xdr:cNvPr id="2070310" name="Text Box 297"/>
        <xdr:cNvSpPr txBox="1">
          <a:spLocks noChangeArrowheads="1"/>
        </xdr:cNvSpPr>
      </xdr:nvSpPr>
      <xdr:spPr bwMode="auto">
        <a:xfrm>
          <a:off x="3133725" y="10782300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75</xdr:row>
      <xdr:rowOff>0</xdr:rowOff>
    </xdr:from>
    <xdr:to>
      <xdr:col>3</xdr:col>
      <xdr:colOff>361950</xdr:colOff>
      <xdr:row>77</xdr:row>
      <xdr:rowOff>28575</xdr:rowOff>
    </xdr:to>
    <xdr:sp macro="" textlink="">
      <xdr:nvSpPr>
        <xdr:cNvPr id="2070311" name="Text Box 314"/>
        <xdr:cNvSpPr txBox="1">
          <a:spLocks noChangeArrowheads="1"/>
        </xdr:cNvSpPr>
      </xdr:nvSpPr>
      <xdr:spPr bwMode="auto">
        <a:xfrm>
          <a:off x="3133725" y="11010900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75</xdr:row>
      <xdr:rowOff>0</xdr:rowOff>
    </xdr:from>
    <xdr:to>
      <xdr:col>3</xdr:col>
      <xdr:colOff>361950</xdr:colOff>
      <xdr:row>77</xdr:row>
      <xdr:rowOff>28575</xdr:rowOff>
    </xdr:to>
    <xdr:sp macro="" textlink="">
      <xdr:nvSpPr>
        <xdr:cNvPr id="2070312" name="Text Box 315"/>
        <xdr:cNvSpPr txBox="1">
          <a:spLocks noChangeArrowheads="1"/>
        </xdr:cNvSpPr>
      </xdr:nvSpPr>
      <xdr:spPr bwMode="auto">
        <a:xfrm>
          <a:off x="3133725" y="11010900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73</xdr:row>
      <xdr:rowOff>0</xdr:rowOff>
    </xdr:from>
    <xdr:to>
      <xdr:col>3</xdr:col>
      <xdr:colOff>361950</xdr:colOff>
      <xdr:row>75</xdr:row>
      <xdr:rowOff>28575</xdr:rowOff>
    </xdr:to>
    <xdr:sp macro="" textlink="">
      <xdr:nvSpPr>
        <xdr:cNvPr id="2070313" name="Text Box 316"/>
        <xdr:cNvSpPr txBox="1">
          <a:spLocks noChangeArrowheads="1"/>
        </xdr:cNvSpPr>
      </xdr:nvSpPr>
      <xdr:spPr bwMode="auto">
        <a:xfrm>
          <a:off x="3133725" y="10848975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73</xdr:row>
      <xdr:rowOff>0</xdr:rowOff>
    </xdr:from>
    <xdr:to>
      <xdr:col>3</xdr:col>
      <xdr:colOff>361950</xdr:colOff>
      <xdr:row>75</xdr:row>
      <xdr:rowOff>28575</xdr:rowOff>
    </xdr:to>
    <xdr:sp macro="" textlink="">
      <xdr:nvSpPr>
        <xdr:cNvPr id="2070314" name="Text Box 317"/>
        <xdr:cNvSpPr txBox="1">
          <a:spLocks noChangeArrowheads="1"/>
        </xdr:cNvSpPr>
      </xdr:nvSpPr>
      <xdr:spPr bwMode="auto">
        <a:xfrm>
          <a:off x="3133725" y="10848975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73</xdr:row>
      <xdr:rowOff>0</xdr:rowOff>
    </xdr:from>
    <xdr:to>
      <xdr:col>3</xdr:col>
      <xdr:colOff>361950</xdr:colOff>
      <xdr:row>75</xdr:row>
      <xdr:rowOff>28575</xdr:rowOff>
    </xdr:to>
    <xdr:sp macro="" textlink="">
      <xdr:nvSpPr>
        <xdr:cNvPr id="2070315" name="Text Box 319"/>
        <xdr:cNvSpPr txBox="1">
          <a:spLocks noChangeArrowheads="1"/>
        </xdr:cNvSpPr>
      </xdr:nvSpPr>
      <xdr:spPr bwMode="auto">
        <a:xfrm>
          <a:off x="3133725" y="10848975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73</xdr:row>
      <xdr:rowOff>0</xdr:rowOff>
    </xdr:from>
    <xdr:to>
      <xdr:col>3</xdr:col>
      <xdr:colOff>361950</xdr:colOff>
      <xdr:row>75</xdr:row>
      <xdr:rowOff>28575</xdr:rowOff>
    </xdr:to>
    <xdr:sp macro="" textlink="">
      <xdr:nvSpPr>
        <xdr:cNvPr id="2070316" name="Text Box 320"/>
        <xdr:cNvSpPr txBox="1">
          <a:spLocks noChangeArrowheads="1"/>
        </xdr:cNvSpPr>
      </xdr:nvSpPr>
      <xdr:spPr bwMode="auto">
        <a:xfrm>
          <a:off x="3133725" y="10848975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73</xdr:row>
      <xdr:rowOff>0</xdr:rowOff>
    </xdr:from>
    <xdr:to>
      <xdr:col>3</xdr:col>
      <xdr:colOff>361950</xdr:colOff>
      <xdr:row>75</xdr:row>
      <xdr:rowOff>28575</xdr:rowOff>
    </xdr:to>
    <xdr:sp macro="" textlink="">
      <xdr:nvSpPr>
        <xdr:cNvPr id="2070317" name="Text Box 321"/>
        <xdr:cNvSpPr txBox="1">
          <a:spLocks noChangeArrowheads="1"/>
        </xdr:cNvSpPr>
      </xdr:nvSpPr>
      <xdr:spPr bwMode="auto">
        <a:xfrm>
          <a:off x="3133725" y="10848975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143</xdr:row>
      <xdr:rowOff>9525</xdr:rowOff>
    </xdr:from>
    <xdr:to>
      <xdr:col>3</xdr:col>
      <xdr:colOff>361950</xdr:colOff>
      <xdr:row>147</xdr:row>
      <xdr:rowOff>28575</xdr:rowOff>
    </xdr:to>
    <xdr:sp macro="" textlink="">
      <xdr:nvSpPr>
        <xdr:cNvPr id="2070318" name="Text Box 334"/>
        <xdr:cNvSpPr txBox="1">
          <a:spLocks noChangeArrowheads="1"/>
        </xdr:cNvSpPr>
      </xdr:nvSpPr>
      <xdr:spPr bwMode="auto">
        <a:xfrm>
          <a:off x="3133725" y="21221700"/>
          <a:ext cx="95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143</xdr:row>
      <xdr:rowOff>9525</xdr:rowOff>
    </xdr:from>
    <xdr:to>
      <xdr:col>3</xdr:col>
      <xdr:colOff>361950</xdr:colOff>
      <xdr:row>147</xdr:row>
      <xdr:rowOff>28575</xdr:rowOff>
    </xdr:to>
    <xdr:sp macro="" textlink="">
      <xdr:nvSpPr>
        <xdr:cNvPr id="2070319" name="Text Box 339"/>
        <xdr:cNvSpPr txBox="1">
          <a:spLocks noChangeArrowheads="1"/>
        </xdr:cNvSpPr>
      </xdr:nvSpPr>
      <xdr:spPr bwMode="auto">
        <a:xfrm>
          <a:off x="3133725" y="21221700"/>
          <a:ext cx="95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147</xdr:row>
      <xdr:rowOff>9525</xdr:rowOff>
    </xdr:from>
    <xdr:to>
      <xdr:col>3</xdr:col>
      <xdr:colOff>361950</xdr:colOff>
      <xdr:row>148</xdr:row>
      <xdr:rowOff>38100</xdr:rowOff>
    </xdr:to>
    <xdr:sp macro="" textlink="">
      <xdr:nvSpPr>
        <xdr:cNvPr id="2070320" name="Text Box 340"/>
        <xdr:cNvSpPr txBox="1">
          <a:spLocks noChangeArrowheads="1"/>
        </xdr:cNvSpPr>
      </xdr:nvSpPr>
      <xdr:spPr bwMode="auto">
        <a:xfrm>
          <a:off x="3133725" y="21869400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34</xdr:row>
      <xdr:rowOff>0</xdr:rowOff>
    </xdr:from>
    <xdr:to>
      <xdr:col>3</xdr:col>
      <xdr:colOff>361950</xdr:colOff>
      <xdr:row>35</xdr:row>
      <xdr:rowOff>28575</xdr:rowOff>
    </xdr:to>
    <xdr:sp macro="" textlink="">
      <xdr:nvSpPr>
        <xdr:cNvPr id="2070321" name="Text Box 453"/>
        <xdr:cNvSpPr txBox="1">
          <a:spLocks noChangeArrowheads="1"/>
        </xdr:cNvSpPr>
      </xdr:nvSpPr>
      <xdr:spPr bwMode="auto">
        <a:xfrm>
          <a:off x="3133725" y="4857750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34</xdr:row>
      <xdr:rowOff>85725</xdr:rowOff>
    </xdr:from>
    <xdr:to>
      <xdr:col>3</xdr:col>
      <xdr:colOff>361950</xdr:colOff>
      <xdr:row>35</xdr:row>
      <xdr:rowOff>114300</xdr:rowOff>
    </xdr:to>
    <xdr:sp macro="" textlink="">
      <xdr:nvSpPr>
        <xdr:cNvPr id="2070322" name="Text Box 454"/>
        <xdr:cNvSpPr txBox="1">
          <a:spLocks noChangeArrowheads="1"/>
        </xdr:cNvSpPr>
      </xdr:nvSpPr>
      <xdr:spPr bwMode="auto">
        <a:xfrm>
          <a:off x="3133725" y="4943475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34</xdr:row>
      <xdr:rowOff>0</xdr:rowOff>
    </xdr:from>
    <xdr:to>
      <xdr:col>3</xdr:col>
      <xdr:colOff>361950</xdr:colOff>
      <xdr:row>35</xdr:row>
      <xdr:rowOff>28575</xdr:rowOff>
    </xdr:to>
    <xdr:sp macro="" textlink="">
      <xdr:nvSpPr>
        <xdr:cNvPr id="2070323" name="Text Box 455"/>
        <xdr:cNvSpPr txBox="1">
          <a:spLocks noChangeArrowheads="1"/>
        </xdr:cNvSpPr>
      </xdr:nvSpPr>
      <xdr:spPr bwMode="auto">
        <a:xfrm>
          <a:off x="3133725" y="4857750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34</xdr:row>
      <xdr:rowOff>85725</xdr:rowOff>
    </xdr:from>
    <xdr:to>
      <xdr:col>3</xdr:col>
      <xdr:colOff>361950</xdr:colOff>
      <xdr:row>35</xdr:row>
      <xdr:rowOff>114300</xdr:rowOff>
    </xdr:to>
    <xdr:sp macro="" textlink="">
      <xdr:nvSpPr>
        <xdr:cNvPr id="2070324" name="Text Box 456"/>
        <xdr:cNvSpPr txBox="1">
          <a:spLocks noChangeArrowheads="1"/>
        </xdr:cNvSpPr>
      </xdr:nvSpPr>
      <xdr:spPr bwMode="auto">
        <a:xfrm>
          <a:off x="3133725" y="4943475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34</xdr:row>
      <xdr:rowOff>0</xdr:rowOff>
    </xdr:from>
    <xdr:to>
      <xdr:col>3</xdr:col>
      <xdr:colOff>361950</xdr:colOff>
      <xdr:row>35</xdr:row>
      <xdr:rowOff>28575</xdr:rowOff>
    </xdr:to>
    <xdr:sp macro="" textlink="">
      <xdr:nvSpPr>
        <xdr:cNvPr id="2070325" name="Text Box 457"/>
        <xdr:cNvSpPr txBox="1">
          <a:spLocks noChangeArrowheads="1"/>
        </xdr:cNvSpPr>
      </xdr:nvSpPr>
      <xdr:spPr bwMode="auto">
        <a:xfrm>
          <a:off x="3133725" y="4857750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34</xdr:row>
      <xdr:rowOff>85725</xdr:rowOff>
    </xdr:from>
    <xdr:to>
      <xdr:col>3</xdr:col>
      <xdr:colOff>361950</xdr:colOff>
      <xdr:row>35</xdr:row>
      <xdr:rowOff>114300</xdr:rowOff>
    </xdr:to>
    <xdr:sp macro="" textlink="">
      <xdr:nvSpPr>
        <xdr:cNvPr id="2070326" name="Text Box 458"/>
        <xdr:cNvSpPr txBox="1">
          <a:spLocks noChangeArrowheads="1"/>
        </xdr:cNvSpPr>
      </xdr:nvSpPr>
      <xdr:spPr bwMode="auto">
        <a:xfrm>
          <a:off x="3133725" y="4943475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34</xdr:row>
      <xdr:rowOff>0</xdr:rowOff>
    </xdr:from>
    <xdr:to>
      <xdr:col>3</xdr:col>
      <xdr:colOff>361950</xdr:colOff>
      <xdr:row>35</xdr:row>
      <xdr:rowOff>28575</xdr:rowOff>
    </xdr:to>
    <xdr:sp macro="" textlink="">
      <xdr:nvSpPr>
        <xdr:cNvPr id="2070327" name="Text Box 459"/>
        <xdr:cNvSpPr txBox="1">
          <a:spLocks noChangeArrowheads="1"/>
        </xdr:cNvSpPr>
      </xdr:nvSpPr>
      <xdr:spPr bwMode="auto">
        <a:xfrm>
          <a:off x="3133725" y="4857750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34</xdr:row>
      <xdr:rowOff>85725</xdr:rowOff>
    </xdr:from>
    <xdr:to>
      <xdr:col>3</xdr:col>
      <xdr:colOff>361950</xdr:colOff>
      <xdr:row>35</xdr:row>
      <xdr:rowOff>114300</xdr:rowOff>
    </xdr:to>
    <xdr:sp macro="" textlink="">
      <xdr:nvSpPr>
        <xdr:cNvPr id="2070328" name="Text Box 460"/>
        <xdr:cNvSpPr txBox="1">
          <a:spLocks noChangeArrowheads="1"/>
        </xdr:cNvSpPr>
      </xdr:nvSpPr>
      <xdr:spPr bwMode="auto">
        <a:xfrm>
          <a:off x="3133725" y="4943475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34</xdr:row>
      <xdr:rowOff>0</xdr:rowOff>
    </xdr:from>
    <xdr:to>
      <xdr:col>3</xdr:col>
      <xdr:colOff>361950</xdr:colOff>
      <xdr:row>35</xdr:row>
      <xdr:rowOff>28575</xdr:rowOff>
    </xdr:to>
    <xdr:sp macro="" textlink="">
      <xdr:nvSpPr>
        <xdr:cNvPr id="2070329" name="Text Box 461"/>
        <xdr:cNvSpPr txBox="1">
          <a:spLocks noChangeArrowheads="1"/>
        </xdr:cNvSpPr>
      </xdr:nvSpPr>
      <xdr:spPr bwMode="auto">
        <a:xfrm>
          <a:off x="3133725" y="4857750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34</xdr:row>
      <xdr:rowOff>85725</xdr:rowOff>
    </xdr:from>
    <xdr:to>
      <xdr:col>3</xdr:col>
      <xdr:colOff>361950</xdr:colOff>
      <xdr:row>35</xdr:row>
      <xdr:rowOff>114300</xdr:rowOff>
    </xdr:to>
    <xdr:sp macro="" textlink="">
      <xdr:nvSpPr>
        <xdr:cNvPr id="2070330" name="Text Box 462"/>
        <xdr:cNvSpPr txBox="1">
          <a:spLocks noChangeArrowheads="1"/>
        </xdr:cNvSpPr>
      </xdr:nvSpPr>
      <xdr:spPr bwMode="auto">
        <a:xfrm>
          <a:off x="3133725" y="4943475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34</xdr:row>
      <xdr:rowOff>0</xdr:rowOff>
    </xdr:from>
    <xdr:to>
      <xdr:col>3</xdr:col>
      <xdr:colOff>361950</xdr:colOff>
      <xdr:row>35</xdr:row>
      <xdr:rowOff>28575</xdr:rowOff>
    </xdr:to>
    <xdr:sp macro="" textlink="">
      <xdr:nvSpPr>
        <xdr:cNvPr id="2070331" name="Text Box 528"/>
        <xdr:cNvSpPr txBox="1">
          <a:spLocks noChangeArrowheads="1"/>
        </xdr:cNvSpPr>
      </xdr:nvSpPr>
      <xdr:spPr bwMode="auto">
        <a:xfrm>
          <a:off x="3133725" y="4857750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34</xdr:row>
      <xdr:rowOff>0</xdr:rowOff>
    </xdr:from>
    <xdr:to>
      <xdr:col>3</xdr:col>
      <xdr:colOff>361950</xdr:colOff>
      <xdr:row>35</xdr:row>
      <xdr:rowOff>38100</xdr:rowOff>
    </xdr:to>
    <xdr:sp macro="" textlink="">
      <xdr:nvSpPr>
        <xdr:cNvPr id="2070332" name="Text Box 529"/>
        <xdr:cNvSpPr txBox="1">
          <a:spLocks noChangeArrowheads="1"/>
        </xdr:cNvSpPr>
      </xdr:nvSpPr>
      <xdr:spPr bwMode="auto">
        <a:xfrm>
          <a:off x="3133725" y="4857750"/>
          <a:ext cx="95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34</xdr:row>
      <xdr:rowOff>0</xdr:rowOff>
    </xdr:from>
    <xdr:to>
      <xdr:col>3</xdr:col>
      <xdr:colOff>361950</xdr:colOff>
      <xdr:row>35</xdr:row>
      <xdr:rowOff>28575</xdr:rowOff>
    </xdr:to>
    <xdr:sp macro="" textlink="">
      <xdr:nvSpPr>
        <xdr:cNvPr id="2070333" name="Text Box 532"/>
        <xdr:cNvSpPr txBox="1">
          <a:spLocks noChangeArrowheads="1"/>
        </xdr:cNvSpPr>
      </xdr:nvSpPr>
      <xdr:spPr bwMode="auto">
        <a:xfrm>
          <a:off x="3133725" y="4857750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34</xdr:row>
      <xdr:rowOff>85725</xdr:rowOff>
    </xdr:from>
    <xdr:to>
      <xdr:col>3</xdr:col>
      <xdr:colOff>361950</xdr:colOff>
      <xdr:row>35</xdr:row>
      <xdr:rowOff>114300</xdr:rowOff>
    </xdr:to>
    <xdr:sp macro="" textlink="">
      <xdr:nvSpPr>
        <xdr:cNvPr id="2070334" name="Text Box 533"/>
        <xdr:cNvSpPr txBox="1">
          <a:spLocks noChangeArrowheads="1"/>
        </xdr:cNvSpPr>
      </xdr:nvSpPr>
      <xdr:spPr bwMode="auto">
        <a:xfrm>
          <a:off x="3133725" y="4943475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34</xdr:row>
      <xdr:rowOff>0</xdr:rowOff>
    </xdr:from>
    <xdr:to>
      <xdr:col>3</xdr:col>
      <xdr:colOff>361950</xdr:colOff>
      <xdr:row>35</xdr:row>
      <xdr:rowOff>28575</xdr:rowOff>
    </xdr:to>
    <xdr:sp macro="" textlink="">
      <xdr:nvSpPr>
        <xdr:cNvPr id="2070335" name="Text Box 534"/>
        <xdr:cNvSpPr txBox="1">
          <a:spLocks noChangeArrowheads="1"/>
        </xdr:cNvSpPr>
      </xdr:nvSpPr>
      <xdr:spPr bwMode="auto">
        <a:xfrm>
          <a:off x="3133725" y="4857750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34</xdr:row>
      <xdr:rowOff>85725</xdr:rowOff>
    </xdr:from>
    <xdr:to>
      <xdr:col>3</xdr:col>
      <xdr:colOff>361950</xdr:colOff>
      <xdr:row>35</xdr:row>
      <xdr:rowOff>114300</xdr:rowOff>
    </xdr:to>
    <xdr:sp macro="" textlink="">
      <xdr:nvSpPr>
        <xdr:cNvPr id="2070336" name="Text Box 535"/>
        <xdr:cNvSpPr txBox="1">
          <a:spLocks noChangeArrowheads="1"/>
        </xdr:cNvSpPr>
      </xdr:nvSpPr>
      <xdr:spPr bwMode="auto">
        <a:xfrm>
          <a:off x="3133725" y="4943475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72</xdr:row>
      <xdr:rowOff>95250</xdr:rowOff>
    </xdr:from>
    <xdr:to>
      <xdr:col>3</xdr:col>
      <xdr:colOff>361950</xdr:colOff>
      <xdr:row>73</xdr:row>
      <xdr:rowOff>123825</xdr:rowOff>
    </xdr:to>
    <xdr:sp macro="" textlink="">
      <xdr:nvSpPr>
        <xdr:cNvPr id="2070337" name="Text Box 536"/>
        <xdr:cNvSpPr txBox="1">
          <a:spLocks noChangeArrowheads="1"/>
        </xdr:cNvSpPr>
      </xdr:nvSpPr>
      <xdr:spPr bwMode="auto">
        <a:xfrm>
          <a:off x="3133725" y="10782300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72</xdr:row>
      <xdr:rowOff>95250</xdr:rowOff>
    </xdr:from>
    <xdr:to>
      <xdr:col>3</xdr:col>
      <xdr:colOff>361950</xdr:colOff>
      <xdr:row>73</xdr:row>
      <xdr:rowOff>123825</xdr:rowOff>
    </xdr:to>
    <xdr:sp macro="" textlink="">
      <xdr:nvSpPr>
        <xdr:cNvPr id="2070338" name="Text Box 694"/>
        <xdr:cNvSpPr txBox="1">
          <a:spLocks noChangeArrowheads="1"/>
        </xdr:cNvSpPr>
      </xdr:nvSpPr>
      <xdr:spPr bwMode="auto">
        <a:xfrm>
          <a:off x="3133725" y="10782300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73</xdr:row>
      <xdr:rowOff>0</xdr:rowOff>
    </xdr:from>
    <xdr:to>
      <xdr:col>3</xdr:col>
      <xdr:colOff>361950</xdr:colOff>
      <xdr:row>75</xdr:row>
      <xdr:rowOff>28575</xdr:rowOff>
    </xdr:to>
    <xdr:sp macro="" textlink="">
      <xdr:nvSpPr>
        <xdr:cNvPr id="2070339" name="Text Box 695"/>
        <xdr:cNvSpPr txBox="1">
          <a:spLocks noChangeArrowheads="1"/>
        </xdr:cNvSpPr>
      </xdr:nvSpPr>
      <xdr:spPr bwMode="auto">
        <a:xfrm>
          <a:off x="3133725" y="10848975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73</xdr:row>
      <xdr:rowOff>0</xdr:rowOff>
    </xdr:from>
    <xdr:to>
      <xdr:col>3</xdr:col>
      <xdr:colOff>361950</xdr:colOff>
      <xdr:row>75</xdr:row>
      <xdr:rowOff>28575</xdr:rowOff>
    </xdr:to>
    <xdr:sp macro="" textlink="">
      <xdr:nvSpPr>
        <xdr:cNvPr id="2070340" name="Text Box 696"/>
        <xdr:cNvSpPr txBox="1">
          <a:spLocks noChangeArrowheads="1"/>
        </xdr:cNvSpPr>
      </xdr:nvSpPr>
      <xdr:spPr bwMode="auto">
        <a:xfrm>
          <a:off x="3133725" y="10848975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38</xdr:row>
      <xdr:rowOff>0</xdr:rowOff>
    </xdr:from>
    <xdr:to>
      <xdr:col>3</xdr:col>
      <xdr:colOff>361950</xdr:colOff>
      <xdr:row>39</xdr:row>
      <xdr:rowOff>28575</xdr:rowOff>
    </xdr:to>
    <xdr:sp macro="" textlink="">
      <xdr:nvSpPr>
        <xdr:cNvPr id="2070341" name="Text Box 971"/>
        <xdr:cNvSpPr txBox="1">
          <a:spLocks noChangeArrowheads="1"/>
        </xdr:cNvSpPr>
      </xdr:nvSpPr>
      <xdr:spPr bwMode="auto">
        <a:xfrm>
          <a:off x="3133725" y="5505450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38</xdr:row>
      <xdr:rowOff>0</xdr:rowOff>
    </xdr:from>
    <xdr:to>
      <xdr:col>3</xdr:col>
      <xdr:colOff>361950</xdr:colOff>
      <xdr:row>39</xdr:row>
      <xdr:rowOff>28575</xdr:rowOff>
    </xdr:to>
    <xdr:sp macro="" textlink="">
      <xdr:nvSpPr>
        <xdr:cNvPr id="2070342" name="Text Box 972"/>
        <xdr:cNvSpPr txBox="1">
          <a:spLocks noChangeArrowheads="1"/>
        </xdr:cNvSpPr>
      </xdr:nvSpPr>
      <xdr:spPr bwMode="auto">
        <a:xfrm>
          <a:off x="3133725" y="5505450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38</xdr:row>
      <xdr:rowOff>0</xdr:rowOff>
    </xdr:from>
    <xdr:to>
      <xdr:col>3</xdr:col>
      <xdr:colOff>361950</xdr:colOff>
      <xdr:row>39</xdr:row>
      <xdr:rowOff>28575</xdr:rowOff>
    </xdr:to>
    <xdr:sp macro="" textlink="">
      <xdr:nvSpPr>
        <xdr:cNvPr id="2070343" name="Text Box 973"/>
        <xdr:cNvSpPr txBox="1">
          <a:spLocks noChangeArrowheads="1"/>
        </xdr:cNvSpPr>
      </xdr:nvSpPr>
      <xdr:spPr bwMode="auto">
        <a:xfrm>
          <a:off x="3133725" y="5505450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38</xdr:row>
      <xdr:rowOff>0</xdr:rowOff>
    </xdr:from>
    <xdr:to>
      <xdr:col>3</xdr:col>
      <xdr:colOff>361950</xdr:colOff>
      <xdr:row>39</xdr:row>
      <xdr:rowOff>28575</xdr:rowOff>
    </xdr:to>
    <xdr:sp macro="" textlink="">
      <xdr:nvSpPr>
        <xdr:cNvPr id="2070344" name="Text Box 974"/>
        <xdr:cNvSpPr txBox="1">
          <a:spLocks noChangeArrowheads="1"/>
        </xdr:cNvSpPr>
      </xdr:nvSpPr>
      <xdr:spPr bwMode="auto">
        <a:xfrm>
          <a:off x="3133725" y="5505450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89</xdr:row>
      <xdr:rowOff>133350</xdr:rowOff>
    </xdr:from>
    <xdr:to>
      <xdr:col>3</xdr:col>
      <xdr:colOff>361950</xdr:colOff>
      <xdr:row>93</xdr:row>
      <xdr:rowOff>9525</xdr:rowOff>
    </xdr:to>
    <xdr:sp macro="" textlink="">
      <xdr:nvSpPr>
        <xdr:cNvPr id="2070345" name="Text Box 1017"/>
        <xdr:cNvSpPr txBox="1">
          <a:spLocks noChangeArrowheads="1"/>
        </xdr:cNvSpPr>
      </xdr:nvSpPr>
      <xdr:spPr bwMode="auto">
        <a:xfrm>
          <a:off x="3133725" y="13249275"/>
          <a:ext cx="95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35</xdr:row>
      <xdr:rowOff>0</xdr:rowOff>
    </xdr:from>
    <xdr:to>
      <xdr:col>3</xdr:col>
      <xdr:colOff>361950</xdr:colOff>
      <xdr:row>36</xdr:row>
      <xdr:rowOff>28575</xdr:rowOff>
    </xdr:to>
    <xdr:sp macro="" textlink="">
      <xdr:nvSpPr>
        <xdr:cNvPr id="2070346" name="Text Box 8"/>
        <xdr:cNvSpPr txBox="1">
          <a:spLocks noChangeArrowheads="1"/>
        </xdr:cNvSpPr>
      </xdr:nvSpPr>
      <xdr:spPr bwMode="auto">
        <a:xfrm>
          <a:off x="3133725" y="5019675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35</xdr:row>
      <xdr:rowOff>0</xdr:rowOff>
    </xdr:from>
    <xdr:to>
      <xdr:col>3</xdr:col>
      <xdr:colOff>361950</xdr:colOff>
      <xdr:row>36</xdr:row>
      <xdr:rowOff>38100</xdr:rowOff>
    </xdr:to>
    <xdr:sp macro="" textlink="">
      <xdr:nvSpPr>
        <xdr:cNvPr id="2070347" name="Text Box 9"/>
        <xdr:cNvSpPr txBox="1">
          <a:spLocks noChangeArrowheads="1"/>
        </xdr:cNvSpPr>
      </xdr:nvSpPr>
      <xdr:spPr bwMode="auto">
        <a:xfrm>
          <a:off x="3133725" y="5019675"/>
          <a:ext cx="95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35</xdr:row>
      <xdr:rowOff>0</xdr:rowOff>
    </xdr:from>
    <xdr:to>
      <xdr:col>3</xdr:col>
      <xdr:colOff>361950</xdr:colOff>
      <xdr:row>36</xdr:row>
      <xdr:rowOff>28575</xdr:rowOff>
    </xdr:to>
    <xdr:sp macro="" textlink="">
      <xdr:nvSpPr>
        <xdr:cNvPr id="2070348" name="Text Box 38"/>
        <xdr:cNvSpPr txBox="1">
          <a:spLocks noChangeArrowheads="1"/>
        </xdr:cNvSpPr>
      </xdr:nvSpPr>
      <xdr:spPr bwMode="auto">
        <a:xfrm>
          <a:off x="3133725" y="5019675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35</xdr:row>
      <xdr:rowOff>0</xdr:rowOff>
    </xdr:from>
    <xdr:to>
      <xdr:col>3</xdr:col>
      <xdr:colOff>361950</xdr:colOff>
      <xdr:row>36</xdr:row>
      <xdr:rowOff>38100</xdr:rowOff>
    </xdr:to>
    <xdr:sp macro="" textlink="">
      <xdr:nvSpPr>
        <xdr:cNvPr id="2070349" name="Text Box 39"/>
        <xdr:cNvSpPr txBox="1">
          <a:spLocks noChangeArrowheads="1"/>
        </xdr:cNvSpPr>
      </xdr:nvSpPr>
      <xdr:spPr bwMode="auto">
        <a:xfrm>
          <a:off x="3133725" y="5019675"/>
          <a:ext cx="95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35</xdr:row>
      <xdr:rowOff>0</xdr:rowOff>
    </xdr:from>
    <xdr:to>
      <xdr:col>3</xdr:col>
      <xdr:colOff>361950</xdr:colOff>
      <xdr:row>36</xdr:row>
      <xdr:rowOff>28575</xdr:rowOff>
    </xdr:to>
    <xdr:sp macro="" textlink="">
      <xdr:nvSpPr>
        <xdr:cNvPr id="2070350" name="Text Box 46"/>
        <xdr:cNvSpPr txBox="1">
          <a:spLocks noChangeArrowheads="1"/>
        </xdr:cNvSpPr>
      </xdr:nvSpPr>
      <xdr:spPr bwMode="auto">
        <a:xfrm>
          <a:off x="3133725" y="5019675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35</xdr:row>
      <xdr:rowOff>0</xdr:rowOff>
    </xdr:from>
    <xdr:to>
      <xdr:col>3</xdr:col>
      <xdr:colOff>361950</xdr:colOff>
      <xdr:row>36</xdr:row>
      <xdr:rowOff>38100</xdr:rowOff>
    </xdr:to>
    <xdr:sp macro="" textlink="">
      <xdr:nvSpPr>
        <xdr:cNvPr id="2070351" name="Text Box 47"/>
        <xdr:cNvSpPr txBox="1">
          <a:spLocks noChangeArrowheads="1"/>
        </xdr:cNvSpPr>
      </xdr:nvSpPr>
      <xdr:spPr bwMode="auto">
        <a:xfrm>
          <a:off x="3133725" y="5019675"/>
          <a:ext cx="95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35</xdr:row>
      <xdr:rowOff>0</xdr:rowOff>
    </xdr:from>
    <xdr:to>
      <xdr:col>3</xdr:col>
      <xdr:colOff>361950</xdr:colOff>
      <xdr:row>36</xdr:row>
      <xdr:rowOff>28575</xdr:rowOff>
    </xdr:to>
    <xdr:sp macro="" textlink="">
      <xdr:nvSpPr>
        <xdr:cNvPr id="2070352" name="Text Box 157"/>
        <xdr:cNvSpPr txBox="1">
          <a:spLocks noChangeArrowheads="1"/>
        </xdr:cNvSpPr>
      </xdr:nvSpPr>
      <xdr:spPr bwMode="auto">
        <a:xfrm>
          <a:off x="3133725" y="5019675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35</xdr:row>
      <xdr:rowOff>0</xdr:rowOff>
    </xdr:from>
    <xdr:to>
      <xdr:col>3</xdr:col>
      <xdr:colOff>361950</xdr:colOff>
      <xdr:row>36</xdr:row>
      <xdr:rowOff>38100</xdr:rowOff>
    </xdr:to>
    <xdr:sp macro="" textlink="">
      <xdr:nvSpPr>
        <xdr:cNvPr id="2070353" name="Text Box 158"/>
        <xdr:cNvSpPr txBox="1">
          <a:spLocks noChangeArrowheads="1"/>
        </xdr:cNvSpPr>
      </xdr:nvSpPr>
      <xdr:spPr bwMode="auto">
        <a:xfrm>
          <a:off x="3133725" y="5019675"/>
          <a:ext cx="95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36</xdr:row>
      <xdr:rowOff>0</xdr:rowOff>
    </xdr:from>
    <xdr:to>
      <xdr:col>3</xdr:col>
      <xdr:colOff>361950</xdr:colOff>
      <xdr:row>36</xdr:row>
      <xdr:rowOff>161925</xdr:rowOff>
    </xdr:to>
    <xdr:sp macro="" textlink="">
      <xdr:nvSpPr>
        <xdr:cNvPr id="2070354" name="Text Box 188"/>
        <xdr:cNvSpPr txBox="1">
          <a:spLocks noChangeArrowheads="1"/>
        </xdr:cNvSpPr>
      </xdr:nvSpPr>
      <xdr:spPr bwMode="auto">
        <a:xfrm>
          <a:off x="3133725" y="5181600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36</xdr:row>
      <xdr:rowOff>85725</xdr:rowOff>
    </xdr:from>
    <xdr:to>
      <xdr:col>3</xdr:col>
      <xdr:colOff>361950</xdr:colOff>
      <xdr:row>36</xdr:row>
      <xdr:rowOff>161925</xdr:rowOff>
    </xdr:to>
    <xdr:sp macro="" textlink="">
      <xdr:nvSpPr>
        <xdr:cNvPr id="2070355" name="Text Box 189"/>
        <xdr:cNvSpPr txBox="1">
          <a:spLocks noChangeArrowheads="1"/>
        </xdr:cNvSpPr>
      </xdr:nvSpPr>
      <xdr:spPr bwMode="auto">
        <a:xfrm>
          <a:off x="3133725" y="5267325"/>
          <a:ext cx="9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36</xdr:row>
      <xdr:rowOff>0</xdr:rowOff>
    </xdr:from>
    <xdr:to>
      <xdr:col>3</xdr:col>
      <xdr:colOff>361950</xdr:colOff>
      <xdr:row>36</xdr:row>
      <xdr:rowOff>161925</xdr:rowOff>
    </xdr:to>
    <xdr:sp macro="" textlink="">
      <xdr:nvSpPr>
        <xdr:cNvPr id="2070356" name="Text Box 190"/>
        <xdr:cNvSpPr txBox="1">
          <a:spLocks noChangeArrowheads="1"/>
        </xdr:cNvSpPr>
      </xdr:nvSpPr>
      <xdr:spPr bwMode="auto">
        <a:xfrm>
          <a:off x="3133725" y="5181600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36</xdr:row>
      <xdr:rowOff>85725</xdr:rowOff>
    </xdr:from>
    <xdr:to>
      <xdr:col>3</xdr:col>
      <xdr:colOff>361950</xdr:colOff>
      <xdr:row>36</xdr:row>
      <xdr:rowOff>161925</xdr:rowOff>
    </xdr:to>
    <xdr:sp macro="" textlink="">
      <xdr:nvSpPr>
        <xdr:cNvPr id="2070357" name="Text Box 191"/>
        <xdr:cNvSpPr txBox="1">
          <a:spLocks noChangeArrowheads="1"/>
        </xdr:cNvSpPr>
      </xdr:nvSpPr>
      <xdr:spPr bwMode="auto">
        <a:xfrm>
          <a:off x="3133725" y="5267325"/>
          <a:ext cx="9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36</xdr:row>
      <xdr:rowOff>0</xdr:rowOff>
    </xdr:from>
    <xdr:to>
      <xdr:col>3</xdr:col>
      <xdr:colOff>361950</xdr:colOff>
      <xdr:row>36</xdr:row>
      <xdr:rowOff>161925</xdr:rowOff>
    </xdr:to>
    <xdr:sp macro="" textlink="">
      <xdr:nvSpPr>
        <xdr:cNvPr id="2070358" name="Text Box 192"/>
        <xdr:cNvSpPr txBox="1">
          <a:spLocks noChangeArrowheads="1"/>
        </xdr:cNvSpPr>
      </xdr:nvSpPr>
      <xdr:spPr bwMode="auto">
        <a:xfrm>
          <a:off x="3133725" y="5181600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36</xdr:row>
      <xdr:rowOff>85725</xdr:rowOff>
    </xdr:from>
    <xdr:to>
      <xdr:col>3</xdr:col>
      <xdr:colOff>361950</xdr:colOff>
      <xdr:row>36</xdr:row>
      <xdr:rowOff>161925</xdr:rowOff>
    </xdr:to>
    <xdr:sp macro="" textlink="">
      <xdr:nvSpPr>
        <xdr:cNvPr id="2070359" name="Text Box 193"/>
        <xdr:cNvSpPr txBox="1">
          <a:spLocks noChangeArrowheads="1"/>
        </xdr:cNvSpPr>
      </xdr:nvSpPr>
      <xdr:spPr bwMode="auto">
        <a:xfrm>
          <a:off x="3133725" y="5267325"/>
          <a:ext cx="9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36</xdr:row>
      <xdr:rowOff>0</xdr:rowOff>
    </xdr:from>
    <xdr:to>
      <xdr:col>3</xdr:col>
      <xdr:colOff>361950</xdr:colOff>
      <xdr:row>36</xdr:row>
      <xdr:rowOff>161925</xdr:rowOff>
    </xdr:to>
    <xdr:sp macro="" textlink="">
      <xdr:nvSpPr>
        <xdr:cNvPr id="2070360" name="Text Box 194"/>
        <xdr:cNvSpPr txBox="1">
          <a:spLocks noChangeArrowheads="1"/>
        </xdr:cNvSpPr>
      </xdr:nvSpPr>
      <xdr:spPr bwMode="auto">
        <a:xfrm>
          <a:off x="3133725" y="5181600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36</xdr:row>
      <xdr:rowOff>85725</xdr:rowOff>
    </xdr:from>
    <xdr:to>
      <xdr:col>3</xdr:col>
      <xdr:colOff>361950</xdr:colOff>
      <xdr:row>36</xdr:row>
      <xdr:rowOff>161925</xdr:rowOff>
    </xdr:to>
    <xdr:sp macro="" textlink="">
      <xdr:nvSpPr>
        <xdr:cNvPr id="2070361" name="Text Box 195"/>
        <xdr:cNvSpPr txBox="1">
          <a:spLocks noChangeArrowheads="1"/>
        </xdr:cNvSpPr>
      </xdr:nvSpPr>
      <xdr:spPr bwMode="auto">
        <a:xfrm>
          <a:off x="3133725" y="5267325"/>
          <a:ext cx="9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35</xdr:row>
      <xdr:rowOff>0</xdr:rowOff>
    </xdr:from>
    <xdr:to>
      <xdr:col>3</xdr:col>
      <xdr:colOff>361950</xdr:colOff>
      <xdr:row>36</xdr:row>
      <xdr:rowOff>28575</xdr:rowOff>
    </xdr:to>
    <xdr:sp macro="" textlink="">
      <xdr:nvSpPr>
        <xdr:cNvPr id="2070362" name="Text Box 230"/>
        <xdr:cNvSpPr txBox="1">
          <a:spLocks noChangeArrowheads="1"/>
        </xdr:cNvSpPr>
      </xdr:nvSpPr>
      <xdr:spPr bwMode="auto">
        <a:xfrm>
          <a:off x="3133725" y="5019675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35</xdr:row>
      <xdr:rowOff>0</xdr:rowOff>
    </xdr:from>
    <xdr:to>
      <xdr:col>3</xdr:col>
      <xdr:colOff>361950</xdr:colOff>
      <xdr:row>36</xdr:row>
      <xdr:rowOff>38100</xdr:rowOff>
    </xdr:to>
    <xdr:sp macro="" textlink="">
      <xdr:nvSpPr>
        <xdr:cNvPr id="2070363" name="Text Box 231"/>
        <xdr:cNvSpPr txBox="1">
          <a:spLocks noChangeArrowheads="1"/>
        </xdr:cNvSpPr>
      </xdr:nvSpPr>
      <xdr:spPr bwMode="auto">
        <a:xfrm>
          <a:off x="3133725" y="5019675"/>
          <a:ext cx="95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35</xdr:row>
      <xdr:rowOff>0</xdr:rowOff>
    </xdr:from>
    <xdr:to>
      <xdr:col>3</xdr:col>
      <xdr:colOff>361950</xdr:colOff>
      <xdr:row>36</xdr:row>
      <xdr:rowOff>28575</xdr:rowOff>
    </xdr:to>
    <xdr:sp macro="" textlink="">
      <xdr:nvSpPr>
        <xdr:cNvPr id="2070364" name="Text Box 453"/>
        <xdr:cNvSpPr txBox="1">
          <a:spLocks noChangeArrowheads="1"/>
        </xdr:cNvSpPr>
      </xdr:nvSpPr>
      <xdr:spPr bwMode="auto">
        <a:xfrm>
          <a:off x="3133725" y="5019675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35</xdr:row>
      <xdr:rowOff>85725</xdr:rowOff>
    </xdr:from>
    <xdr:to>
      <xdr:col>3</xdr:col>
      <xdr:colOff>361950</xdr:colOff>
      <xdr:row>36</xdr:row>
      <xdr:rowOff>114300</xdr:rowOff>
    </xdr:to>
    <xdr:sp macro="" textlink="">
      <xdr:nvSpPr>
        <xdr:cNvPr id="2070365" name="Text Box 454"/>
        <xdr:cNvSpPr txBox="1">
          <a:spLocks noChangeArrowheads="1"/>
        </xdr:cNvSpPr>
      </xdr:nvSpPr>
      <xdr:spPr bwMode="auto">
        <a:xfrm>
          <a:off x="3133725" y="5105400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35</xdr:row>
      <xdr:rowOff>0</xdr:rowOff>
    </xdr:from>
    <xdr:to>
      <xdr:col>3</xdr:col>
      <xdr:colOff>361950</xdr:colOff>
      <xdr:row>36</xdr:row>
      <xdr:rowOff>28575</xdr:rowOff>
    </xdr:to>
    <xdr:sp macro="" textlink="">
      <xdr:nvSpPr>
        <xdr:cNvPr id="2070366" name="Text Box 455"/>
        <xdr:cNvSpPr txBox="1">
          <a:spLocks noChangeArrowheads="1"/>
        </xdr:cNvSpPr>
      </xdr:nvSpPr>
      <xdr:spPr bwMode="auto">
        <a:xfrm>
          <a:off x="3133725" y="5019675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35</xdr:row>
      <xdr:rowOff>85725</xdr:rowOff>
    </xdr:from>
    <xdr:to>
      <xdr:col>3</xdr:col>
      <xdr:colOff>361950</xdr:colOff>
      <xdr:row>36</xdr:row>
      <xdr:rowOff>114300</xdr:rowOff>
    </xdr:to>
    <xdr:sp macro="" textlink="">
      <xdr:nvSpPr>
        <xdr:cNvPr id="2070367" name="Text Box 456"/>
        <xdr:cNvSpPr txBox="1">
          <a:spLocks noChangeArrowheads="1"/>
        </xdr:cNvSpPr>
      </xdr:nvSpPr>
      <xdr:spPr bwMode="auto">
        <a:xfrm>
          <a:off x="3133725" y="5105400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35</xdr:row>
      <xdr:rowOff>0</xdr:rowOff>
    </xdr:from>
    <xdr:to>
      <xdr:col>3</xdr:col>
      <xdr:colOff>361950</xdr:colOff>
      <xdr:row>36</xdr:row>
      <xdr:rowOff>28575</xdr:rowOff>
    </xdr:to>
    <xdr:sp macro="" textlink="">
      <xdr:nvSpPr>
        <xdr:cNvPr id="2070368" name="Text Box 457"/>
        <xdr:cNvSpPr txBox="1">
          <a:spLocks noChangeArrowheads="1"/>
        </xdr:cNvSpPr>
      </xdr:nvSpPr>
      <xdr:spPr bwMode="auto">
        <a:xfrm>
          <a:off x="3133725" y="5019675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35</xdr:row>
      <xdr:rowOff>85725</xdr:rowOff>
    </xdr:from>
    <xdr:to>
      <xdr:col>3</xdr:col>
      <xdr:colOff>361950</xdr:colOff>
      <xdr:row>36</xdr:row>
      <xdr:rowOff>114300</xdr:rowOff>
    </xdr:to>
    <xdr:sp macro="" textlink="">
      <xdr:nvSpPr>
        <xdr:cNvPr id="2070369" name="Text Box 458"/>
        <xdr:cNvSpPr txBox="1">
          <a:spLocks noChangeArrowheads="1"/>
        </xdr:cNvSpPr>
      </xdr:nvSpPr>
      <xdr:spPr bwMode="auto">
        <a:xfrm>
          <a:off x="3133725" y="5105400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35</xdr:row>
      <xdr:rowOff>0</xdr:rowOff>
    </xdr:from>
    <xdr:to>
      <xdr:col>3</xdr:col>
      <xdr:colOff>361950</xdr:colOff>
      <xdr:row>36</xdr:row>
      <xdr:rowOff>28575</xdr:rowOff>
    </xdr:to>
    <xdr:sp macro="" textlink="">
      <xdr:nvSpPr>
        <xdr:cNvPr id="2070370" name="Text Box 459"/>
        <xdr:cNvSpPr txBox="1">
          <a:spLocks noChangeArrowheads="1"/>
        </xdr:cNvSpPr>
      </xdr:nvSpPr>
      <xdr:spPr bwMode="auto">
        <a:xfrm>
          <a:off x="3133725" y="5019675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35</xdr:row>
      <xdr:rowOff>85725</xdr:rowOff>
    </xdr:from>
    <xdr:to>
      <xdr:col>3</xdr:col>
      <xdr:colOff>361950</xdr:colOff>
      <xdr:row>36</xdr:row>
      <xdr:rowOff>114300</xdr:rowOff>
    </xdr:to>
    <xdr:sp macro="" textlink="">
      <xdr:nvSpPr>
        <xdr:cNvPr id="2070371" name="Text Box 460"/>
        <xdr:cNvSpPr txBox="1">
          <a:spLocks noChangeArrowheads="1"/>
        </xdr:cNvSpPr>
      </xdr:nvSpPr>
      <xdr:spPr bwMode="auto">
        <a:xfrm>
          <a:off x="3133725" y="5105400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35</xdr:row>
      <xdr:rowOff>0</xdr:rowOff>
    </xdr:from>
    <xdr:to>
      <xdr:col>3</xdr:col>
      <xdr:colOff>361950</xdr:colOff>
      <xdr:row>36</xdr:row>
      <xdr:rowOff>28575</xdr:rowOff>
    </xdr:to>
    <xdr:sp macro="" textlink="">
      <xdr:nvSpPr>
        <xdr:cNvPr id="2070372" name="Text Box 461"/>
        <xdr:cNvSpPr txBox="1">
          <a:spLocks noChangeArrowheads="1"/>
        </xdr:cNvSpPr>
      </xdr:nvSpPr>
      <xdr:spPr bwMode="auto">
        <a:xfrm>
          <a:off x="3133725" y="5019675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35</xdr:row>
      <xdr:rowOff>85725</xdr:rowOff>
    </xdr:from>
    <xdr:to>
      <xdr:col>3</xdr:col>
      <xdr:colOff>361950</xdr:colOff>
      <xdr:row>36</xdr:row>
      <xdr:rowOff>114300</xdr:rowOff>
    </xdr:to>
    <xdr:sp macro="" textlink="">
      <xdr:nvSpPr>
        <xdr:cNvPr id="2070373" name="Text Box 462"/>
        <xdr:cNvSpPr txBox="1">
          <a:spLocks noChangeArrowheads="1"/>
        </xdr:cNvSpPr>
      </xdr:nvSpPr>
      <xdr:spPr bwMode="auto">
        <a:xfrm>
          <a:off x="3133725" y="5105400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35</xdr:row>
      <xdr:rowOff>0</xdr:rowOff>
    </xdr:from>
    <xdr:to>
      <xdr:col>3</xdr:col>
      <xdr:colOff>361950</xdr:colOff>
      <xdr:row>36</xdr:row>
      <xdr:rowOff>28575</xdr:rowOff>
    </xdr:to>
    <xdr:sp macro="" textlink="">
      <xdr:nvSpPr>
        <xdr:cNvPr id="2070374" name="Text Box 528"/>
        <xdr:cNvSpPr txBox="1">
          <a:spLocks noChangeArrowheads="1"/>
        </xdr:cNvSpPr>
      </xdr:nvSpPr>
      <xdr:spPr bwMode="auto">
        <a:xfrm>
          <a:off x="3133725" y="5019675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35</xdr:row>
      <xdr:rowOff>0</xdr:rowOff>
    </xdr:from>
    <xdr:to>
      <xdr:col>3</xdr:col>
      <xdr:colOff>361950</xdr:colOff>
      <xdr:row>36</xdr:row>
      <xdr:rowOff>38100</xdr:rowOff>
    </xdr:to>
    <xdr:sp macro="" textlink="">
      <xdr:nvSpPr>
        <xdr:cNvPr id="2070375" name="Text Box 529"/>
        <xdr:cNvSpPr txBox="1">
          <a:spLocks noChangeArrowheads="1"/>
        </xdr:cNvSpPr>
      </xdr:nvSpPr>
      <xdr:spPr bwMode="auto">
        <a:xfrm>
          <a:off x="3133725" y="5019675"/>
          <a:ext cx="95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35</xdr:row>
      <xdr:rowOff>0</xdr:rowOff>
    </xdr:from>
    <xdr:to>
      <xdr:col>3</xdr:col>
      <xdr:colOff>361950</xdr:colOff>
      <xdr:row>36</xdr:row>
      <xdr:rowOff>28575</xdr:rowOff>
    </xdr:to>
    <xdr:sp macro="" textlink="">
      <xdr:nvSpPr>
        <xdr:cNvPr id="2070376" name="Text Box 532"/>
        <xdr:cNvSpPr txBox="1">
          <a:spLocks noChangeArrowheads="1"/>
        </xdr:cNvSpPr>
      </xdr:nvSpPr>
      <xdr:spPr bwMode="auto">
        <a:xfrm>
          <a:off x="3133725" y="5019675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35</xdr:row>
      <xdr:rowOff>85725</xdr:rowOff>
    </xdr:from>
    <xdr:to>
      <xdr:col>3</xdr:col>
      <xdr:colOff>361950</xdr:colOff>
      <xdr:row>36</xdr:row>
      <xdr:rowOff>114300</xdr:rowOff>
    </xdr:to>
    <xdr:sp macro="" textlink="">
      <xdr:nvSpPr>
        <xdr:cNvPr id="2070377" name="Text Box 533"/>
        <xdr:cNvSpPr txBox="1">
          <a:spLocks noChangeArrowheads="1"/>
        </xdr:cNvSpPr>
      </xdr:nvSpPr>
      <xdr:spPr bwMode="auto">
        <a:xfrm>
          <a:off x="3133725" y="5105400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35</xdr:row>
      <xdr:rowOff>0</xdr:rowOff>
    </xdr:from>
    <xdr:to>
      <xdr:col>3</xdr:col>
      <xdr:colOff>361950</xdr:colOff>
      <xdr:row>36</xdr:row>
      <xdr:rowOff>28575</xdr:rowOff>
    </xdr:to>
    <xdr:sp macro="" textlink="">
      <xdr:nvSpPr>
        <xdr:cNvPr id="2070378" name="Text Box 534"/>
        <xdr:cNvSpPr txBox="1">
          <a:spLocks noChangeArrowheads="1"/>
        </xdr:cNvSpPr>
      </xdr:nvSpPr>
      <xdr:spPr bwMode="auto">
        <a:xfrm>
          <a:off x="3133725" y="5019675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35</xdr:row>
      <xdr:rowOff>85725</xdr:rowOff>
    </xdr:from>
    <xdr:to>
      <xdr:col>3</xdr:col>
      <xdr:colOff>361950</xdr:colOff>
      <xdr:row>36</xdr:row>
      <xdr:rowOff>114300</xdr:rowOff>
    </xdr:to>
    <xdr:sp macro="" textlink="">
      <xdr:nvSpPr>
        <xdr:cNvPr id="2070379" name="Text Box 535"/>
        <xdr:cNvSpPr txBox="1">
          <a:spLocks noChangeArrowheads="1"/>
        </xdr:cNvSpPr>
      </xdr:nvSpPr>
      <xdr:spPr bwMode="auto">
        <a:xfrm>
          <a:off x="3133725" y="5105400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36</xdr:row>
      <xdr:rowOff>0</xdr:rowOff>
    </xdr:from>
    <xdr:to>
      <xdr:col>3</xdr:col>
      <xdr:colOff>361950</xdr:colOff>
      <xdr:row>37</xdr:row>
      <xdr:rowOff>28575</xdr:rowOff>
    </xdr:to>
    <xdr:sp macro="" textlink="">
      <xdr:nvSpPr>
        <xdr:cNvPr id="2070380" name="Text Box 8"/>
        <xdr:cNvSpPr txBox="1">
          <a:spLocks noChangeArrowheads="1"/>
        </xdr:cNvSpPr>
      </xdr:nvSpPr>
      <xdr:spPr bwMode="auto">
        <a:xfrm>
          <a:off x="3133725" y="5181600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36</xdr:row>
      <xdr:rowOff>0</xdr:rowOff>
    </xdr:from>
    <xdr:to>
      <xdr:col>3</xdr:col>
      <xdr:colOff>361950</xdr:colOff>
      <xdr:row>37</xdr:row>
      <xdr:rowOff>38100</xdr:rowOff>
    </xdr:to>
    <xdr:sp macro="" textlink="">
      <xdr:nvSpPr>
        <xdr:cNvPr id="2070381" name="Text Box 9"/>
        <xdr:cNvSpPr txBox="1">
          <a:spLocks noChangeArrowheads="1"/>
        </xdr:cNvSpPr>
      </xdr:nvSpPr>
      <xdr:spPr bwMode="auto">
        <a:xfrm>
          <a:off x="3133725" y="5181600"/>
          <a:ext cx="95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36</xdr:row>
      <xdr:rowOff>0</xdr:rowOff>
    </xdr:from>
    <xdr:to>
      <xdr:col>3</xdr:col>
      <xdr:colOff>361950</xdr:colOff>
      <xdr:row>37</xdr:row>
      <xdr:rowOff>28575</xdr:rowOff>
    </xdr:to>
    <xdr:sp macro="" textlink="">
      <xdr:nvSpPr>
        <xdr:cNvPr id="2070382" name="Text Box 38"/>
        <xdr:cNvSpPr txBox="1">
          <a:spLocks noChangeArrowheads="1"/>
        </xdr:cNvSpPr>
      </xdr:nvSpPr>
      <xdr:spPr bwMode="auto">
        <a:xfrm>
          <a:off x="3133725" y="5181600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36</xdr:row>
      <xdr:rowOff>0</xdr:rowOff>
    </xdr:from>
    <xdr:to>
      <xdr:col>3</xdr:col>
      <xdr:colOff>361950</xdr:colOff>
      <xdr:row>37</xdr:row>
      <xdr:rowOff>38100</xdr:rowOff>
    </xdr:to>
    <xdr:sp macro="" textlink="">
      <xdr:nvSpPr>
        <xdr:cNvPr id="2070383" name="Text Box 39"/>
        <xdr:cNvSpPr txBox="1">
          <a:spLocks noChangeArrowheads="1"/>
        </xdr:cNvSpPr>
      </xdr:nvSpPr>
      <xdr:spPr bwMode="auto">
        <a:xfrm>
          <a:off x="3133725" y="5181600"/>
          <a:ext cx="95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36</xdr:row>
      <xdr:rowOff>0</xdr:rowOff>
    </xdr:from>
    <xdr:to>
      <xdr:col>3</xdr:col>
      <xdr:colOff>361950</xdr:colOff>
      <xdr:row>37</xdr:row>
      <xdr:rowOff>28575</xdr:rowOff>
    </xdr:to>
    <xdr:sp macro="" textlink="">
      <xdr:nvSpPr>
        <xdr:cNvPr id="2070384" name="Text Box 46"/>
        <xdr:cNvSpPr txBox="1">
          <a:spLocks noChangeArrowheads="1"/>
        </xdr:cNvSpPr>
      </xdr:nvSpPr>
      <xdr:spPr bwMode="auto">
        <a:xfrm>
          <a:off x="3133725" y="5181600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36</xdr:row>
      <xdr:rowOff>0</xdr:rowOff>
    </xdr:from>
    <xdr:to>
      <xdr:col>3</xdr:col>
      <xdr:colOff>361950</xdr:colOff>
      <xdr:row>37</xdr:row>
      <xdr:rowOff>38100</xdr:rowOff>
    </xdr:to>
    <xdr:sp macro="" textlink="">
      <xdr:nvSpPr>
        <xdr:cNvPr id="2070385" name="Text Box 47"/>
        <xdr:cNvSpPr txBox="1">
          <a:spLocks noChangeArrowheads="1"/>
        </xdr:cNvSpPr>
      </xdr:nvSpPr>
      <xdr:spPr bwMode="auto">
        <a:xfrm>
          <a:off x="3133725" y="5181600"/>
          <a:ext cx="95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36</xdr:row>
      <xdr:rowOff>0</xdr:rowOff>
    </xdr:from>
    <xdr:to>
      <xdr:col>3</xdr:col>
      <xdr:colOff>361950</xdr:colOff>
      <xdr:row>37</xdr:row>
      <xdr:rowOff>28575</xdr:rowOff>
    </xdr:to>
    <xdr:sp macro="" textlink="">
      <xdr:nvSpPr>
        <xdr:cNvPr id="2070386" name="Text Box 157"/>
        <xdr:cNvSpPr txBox="1">
          <a:spLocks noChangeArrowheads="1"/>
        </xdr:cNvSpPr>
      </xdr:nvSpPr>
      <xdr:spPr bwMode="auto">
        <a:xfrm>
          <a:off x="3133725" y="5181600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36</xdr:row>
      <xdr:rowOff>0</xdr:rowOff>
    </xdr:from>
    <xdr:to>
      <xdr:col>3</xdr:col>
      <xdr:colOff>361950</xdr:colOff>
      <xdr:row>37</xdr:row>
      <xdr:rowOff>38100</xdr:rowOff>
    </xdr:to>
    <xdr:sp macro="" textlink="">
      <xdr:nvSpPr>
        <xdr:cNvPr id="2070387" name="Text Box 158"/>
        <xdr:cNvSpPr txBox="1">
          <a:spLocks noChangeArrowheads="1"/>
        </xdr:cNvSpPr>
      </xdr:nvSpPr>
      <xdr:spPr bwMode="auto">
        <a:xfrm>
          <a:off x="3133725" y="5181600"/>
          <a:ext cx="95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37</xdr:row>
      <xdr:rowOff>0</xdr:rowOff>
    </xdr:from>
    <xdr:to>
      <xdr:col>3</xdr:col>
      <xdr:colOff>361950</xdr:colOff>
      <xdr:row>37</xdr:row>
      <xdr:rowOff>161925</xdr:rowOff>
    </xdr:to>
    <xdr:sp macro="" textlink="">
      <xdr:nvSpPr>
        <xdr:cNvPr id="2070388" name="Text Box 188"/>
        <xdr:cNvSpPr txBox="1">
          <a:spLocks noChangeArrowheads="1"/>
        </xdr:cNvSpPr>
      </xdr:nvSpPr>
      <xdr:spPr bwMode="auto">
        <a:xfrm>
          <a:off x="3133725" y="5343525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37</xdr:row>
      <xdr:rowOff>85725</xdr:rowOff>
    </xdr:from>
    <xdr:to>
      <xdr:col>3</xdr:col>
      <xdr:colOff>361950</xdr:colOff>
      <xdr:row>37</xdr:row>
      <xdr:rowOff>161925</xdr:rowOff>
    </xdr:to>
    <xdr:sp macro="" textlink="">
      <xdr:nvSpPr>
        <xdr:cNvPr id="2070389" name="Text Box 189"/>
        <xdr:cNvSpPr txBox="1">
          <a:spLocks noChangeArrowheads="1"/>
        </xdr:cNvSpPr>
      </xdr:nvSpPr>
      <xdr:spPr bwMode="auto">
        <a:xfrm>
          <a:off x="3133725" y="5429250"/>
          <a:ext cx="9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37</xdr:row>
      <xdr:rowOff>0</xdr:rowOff>
    </xdr:from>
    <xdr:to>
      <xdr:col>3</xdr:col>
      <xdr:colOff>361950</xdr:colOff>
      <xdr:row>37</xdr:row>
      <xdr:rowOff>161925</xdr:rowOff>
    </xdr:to>
    <xdr:sp macro="" textlink="">
      <xdr:nvSpPr>
        <xdr:cNvPr id="2070390" name="Text Box 190"/>
        <xdr:cNvSpPr txBox="1">
          <a:spLocks noChangeArrowheads="1"/>
        </xdr:cNvSpPr>
      </xdr:nvSpPr>
      <xdr:spPr bwMode="auto">
        <a:xfrm>
          <a:off x="3133725" y="5343525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37</xdr:row>
      <xdr:rowOff>85725</xdr:rowOff>
    </xdr:from>
    <xdr:to>
      <xdr:col>3</xdr:col>
      <xdr:colOff>361950</xdr:colOff>
      <xdr:row>37</xdr:row>
      <xdr:rowOff>161925</xdr:rowOff>
    </xdr:to>
    <xdr:sp macro="" textlink="">
      <xdr:nvSpPr>
        <xdr:cNvPr id="2070391" name="Text Box 191"/>
        <xdr:cNvSpPr txBox="1">
          <a:spLocks noChangeArrowheads="1"/>
        </xdr:cNvSpPr>
      </xdr:nvSpPr>
      <xdr:spPr bwMode="auto">
        <a:xfrm>
          <a:off x="3133725" y="5429250"/>
          <a:ext cx="9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37</xdr:row>
      <xdr:rowOff>0</xdr:rowOff>
    </xdr:from>
    <xdr:to>
      <xdr:col>3</xdr:col>
      <xdr:colOff>361950</xdr:colOff>
      <xdr:row>37</xdr:row>
      <xdr:rowOff>161925</xdr:rowOff>
    </xdr:to>
    <xdr:sp macro="" textlink="">
      <xdr:nvSpPr>
        <xdr:cNvPr id="2070392" name="Text Box 192"/>
        <xdr:cNvSpPr txBox="1">
          <a:spLocks noChangeArrowheads="1"/>
        </xdr:cNvSpPr>
      </xdr:nvSpPr>
      <xdr:spPr bwMode="auto">
        <a:xfrm>
          <a:off x="3133725" y="5343525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37</xdr:row>
      <xdr:rowOff>85725</xdr:rowOff>
    </xdr:from>
    <xdr:to>
      <xdr:col>3</xdr:col>
      <xdr:colOff>361950</xdr:colOff>
      <xdr:row>37</xdr:row>
      <xdr:rowOff>161925</xdr:rowOff>
    </xdr:to>
    <xdr:sp macro="" textlink="">
      <xdr:nvSpPr>
        <xdr:cNvPr id="2070393" name="Text Box 193"/>
        <xdr:cNvSpPr txBox="1">
          <a:spLocks noChangeArrowheads="1"/>
        </xdr:cNvSpPr>
      </xdr:nvSpPr>
      <xdr:spPr bwMode="auto">
        <a:xfrm>
          <a:off x="3133725" y="5429250"/>
          <a:ext cx="9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37</xdr:row>
      <xdr:rowOff>0</xdr:rowOff>
    </xdr:from>
    <xdr:to>
      <xdr:col>3</xdr:col>
      <xdr:colOff>361950</xdr:colOff>
      <xdr:row>37</xdr:row>
      <xdr:rowOff>161925</xdr:rowOff>
    </xdr:to>
    <xdr:sp macro="" textlink="">
      <xdr:nvSpPr>
        <xdr:cNvPr id="2070394" name="Text Box 194"/>
        <xdr:cNvSpPr txBox="1">
          <a:spLocks noChangeArrowheads="1"/>
        </xdr:cNvSpPr>
      </xdr:nvSpPr>
      <xdr:spPr bwMode="auto">
        <a:xfrm>
          <a:off x="3133725" y="5343525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37</xdr:row>
      <xdr:rowOff>85725</xdr:rowOff>
    </xdr:from>
    <xdr:to>
      <xdr:col>3</xdr:col>
      <xdr:colOff>361950</xdr:colOff>
      <xdr:row>37</xdr:row>
      <xdr:rowOff>161925</xdr:rowOff>
    </xdr:to>
    <xdr:sp macro="" textlink="">
      <xdr:nvSpPr>
        <xdr:cNvPr id="2070395" name="Text Box 195"/>
        <xdr:cNvSpPr txBox="1">
          <a:spLocks noChangeArrowheads="1"/>
        </xdr:cNvSpPr>
      </xdr:nvSpPr>
      <xdr:spPr bwMode="auto">
        <a:xfrm>
          <a:off x="3133725" y="5429250"/>
          <a:ext cx="9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36</xdr:row>
      <xdr:rowOff>0</xdr:rowOff>
    </xdr:from>
    <xdr:to>
      <xdr:col>3</xdr:col>
      <xdr:colOff>361950</xdr:colOff>
      <xdr:row>37</xdr:row>
      <xdr:rowOff>28575</xdr:rowOff>
    </xdr:to>
    <xdr:sp macro="" textlink="">
      <xdr:nvSpPr>
        <xdr:cNvPr id="2070396" name="Text Box 230"/>
        <xdr:cNvSpPr txBox="1">
          <a:spLocks noChangeArrowheads="1"/>
        </xdr:cNvSpPr>
      </xdr:nvSpPr>
      <xdr:spPr bwMode="auto">
        <a:xfrm>
          <a:off x="3133725" y="5181600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36</xdr:row>
      <xdr:rowOff>0</xdr:rowOff>
    </xdr:from>
    <xdr:to>
      <xdr:col>3</xdr:col>
      <xdr:colOff>361950</xdr:colOff>
      <xdr:row>37</xdr:row>
      <xdr:rowOff>38100</xdr:rowOff>
    </xdr:to>
    <xdr:sp macro="" textlink="">
      <xdr:nvSpPr>
        <xdr:cNvPr id="2070397" name="Text Box 231"/>
        <xdr:cNvSpPr txBox="1">
          <a:spLocks noChangeArrowheads="1"/>
        </xdr:cNvSpPr>
      </xdr:nvSpPr>
      <xdr:spPr bwMode="auto">
        <a:xfrm>
          <a:off x="3133725" y="5181600"/>
          <a:ext cx="95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36</xdr:row>
      <xdr:rowOff>0</xdr:rowOff>
    </xdr:from>
    <xdr:to>
      <xdr:col>3</xdr:col>
      <xdr:colOff>361950</xdr:colOff>
      <xdr:row>37</xdr:row>
      <xdr:rowOff>28575</xdr:rowOff>
    </xdr:to>
    <xdr:sp macro="" textlink="">
      <xdr:nvSpPr>
        <xdr:cNvPr id="2070398" name="Text Box 453"/>
        <xdr:cNvSpPr txBox="1">
          <a:spLocks noChangeArrowheads="1"/>
        </xdr:cNvSpPr>
      </xdr:nvSpPr>
      <xdr:spPr bwMode="auto">
        <a:xfrm>
          <a:off x="3133725" y="5181600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36</xdr:row>
      <xdr:rowOff>85725</xdr:rowOff>
    </xdr:from>
    <xdr:to>
      <xdr:col>3</xdr:col>
      <xdr:colOff>361950</xdr:colOff>
      <xdr:row>37</xdr:row>
      <xdr:rowOff>114300</xdr:rowOff>
    </xdr:to>
    <xdr:sp macro="" textlink="">
      <xdr:nvSpPr>
        <xdr:cNvPr id="2070399" name="Text Box 454"/>
        <xdr:cNvSpPr txBox="1">
          <a:spLocks noChangeArrowheads="1"/>
        </xdr:cNvSpPr>
      </xdr:nvSpPr>
      <xdr:spPr bwMode="auto">
        <a:xfrm>
          <a:off x="3133725" y="5267325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36</xdr:row>
      <xdr:rowOff>0</xdr:rowOff>
    </xdr:from>
    <xdr:to>
      <xdr:col>3</xdr:col>
      <xdr:colOff>361950</xdr:colOff>
      <xdr:row>37</xdr:row>
      <xdr:rowOff>28575</xdr:rowOff>
    </xdr:to>
    <xdr:sp macro="" textlink="">
      <xdr:nvSpPr>
        <xdr:cNvPr id="2070400" name="Text Box 455"/>
        <xdr:cNvSpPr txBox="1">
          <a:spLocks noChangeArrowheads="1"/>
        </xdr:cNvSpPr>
      </xdr:nvSpPr>
      <xdr:spPr bwMode="auto">
        <a:xfrm>
          <a:off x="3133725" y="5181600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36</xdr:row>
      <xdr:rowOff>85725</xdr:rowOff>
    </xdr:from>
    <xdr:to>
      <xdr:col>3</xdr:col>
      <xdr:colOff>361950</xdr:colOff>
      <xdr:row>37</xdr:row>
      <xdr:rowOff>114300</xdr:rowOff>
    </xdr:to>
    <xdr:sp macro="" textlink="">
      <xdr:nvSpPr>
        <xdr:cNvPr id="2070401" name="Text Box 456"/>
        <xdr:cNvSpPr txBox="1">
          <a:spLocks noChangeArrowheads="1"/>
        </xdr:cNvSpPr>
      </xdr:nvSpPr>
      <xdr:spPr bwMode="auto">
        <a:xfrm>
          <a:off x="3133725" y="5267325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36</xdr:row>
      <xdr:rowOff>0</xdr:rowOff>
    </xdr:from>
    <xdr:to>
      <xdr:col>3</xdr:col>
      <xdr:colOff>361950</xdr:colOff>
      <xdr:row>37</xdr:row>
      <xdr:rowOff>28575</xdr:rowOff>
    </xdr:to>
    <xdr:sp macro="" textlink="">
      <xdr:nvSpPr>
        <xdr:cNvPr id="2070402" name="Text Box 457"/>
        <xdr:cNvSpPr txBox="1">
          <a:spLocks noChangeArrowheads="1"/>
        </xdr:cNvSpPr>
      </xdr:nvSpPr>
      <xdr:spPr bwMode="auto">
        <a:xfrm>
          <a:off x="3133725" y="5181600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36</xdr:row>
      <xdr:rowOff>85725</xdr:rowOff>
    </xdr:from>
    <xdr:to>
      <xdr:col>3</xdr:col>
      <xdr:colOff>361950</xdr:colOff>
      <xdr:row>37</xdr:row>
      <xdr:rowOff>114300</xdr:rowOff>
    </xdr:to>
    <xdr:sp macro="" textlink="">
      <xdr:nvSpPr>
        <xdr:cNvPr id="2070403" name="Text Box 458"/>
        <xdr:cNvSpPr txBox="1">
          <a:spLocks noChangeArrowheads="1"/>
        </xdr:cNvSpPr>
      </xdr:nvSpPr>
      <xdr:spPr bwMode="auto">
        <a:xfrm>
          <a:off x="3133725" y="5267325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36</xdr:row>
      <xdr:rowOff>0</xdr:rowOff>
    </xdr:from>
    <xdr:to>
      <xdr:col>3</xdr:col>
      <xdr:colOff>361950</xdr:colOff>
      <xdr:row>37</xdr:row>
      <xdr:rowOff>28575</xdr:rowOff>
    </xdr:to>
    <xdr:sp macro="" textlink="">
      <xdr:nvSpPr>
        <xdr:cNvPr id="2070404" name="Text Box 459"/>
        <xdr:cNvSpPr txBox="1">
          <a:spLocks noChangeArrowheads="1"/>
        </xdr:cNvSpPr>
      </xdr:nvSpPr>
      <xdr:spPr bwMode="auto">
        <a:xfrm>
          <a:off x="3133725" y="5181600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36</xdr:row>
      <xdr:rowOff>85725</xdr:rowOff>
    </xdr:from>
    <xdr:to>
      <xdr:col>3</xdr:col>
      <xdr:colOff>361950</xdr:colOff>
      <xdr:row>37</xdr:row>
      <xdr:rowOff>114300</xdr:rowOff>
    </xdr:to>
    <xdr:sp macro="" textlink="">
      <xdr:nvSpPr>
        <xdr:cNvPr id="2070405" name="Text Box 460"/>
        <xdr:cNvSpPr txBox="1">
          <a:spLocks noChangeArrowheads="1"/>
        </xdr:cNvSpPr>
      </xdr:nvSpPr>
      <xdr:spPr bwMode="auto">
        <a:xfrm>
          <a:off x="3133725" y="5267325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36</xdr:row>
      <xdr:rowOff>0</xdr:rowOff>
    </xdr:from>
    <xdr:to>
      <xdr:col>3</xdr:col>
      <xdr:colOff>361950</xdr:colOff>
      <xdr:row>37</xdr:row>
      <xdr:rowOff>28575</xdr:rowOff>
    </xdr:to>
    <xdr:sp macro="" textlink="">
      <xdr:nvSpPr>
        <xdr:cNvPr id="2070406" name="Text Box 461"/>
        <xdr:cNvSpPr txBox="1">
          <a:spLocks noChangeArrowheads="1"/>
        </xdr:cNvSpPr>
      </xdr:nvSpPr>
      <xdr:spPr bwMode="auto">
        <a:xfrm>
          <a:off x="3133725" y="5181600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36</xdr:row>
      <xdr:rowOff>85725</xdr:rowOff>
    </xdr:from>
    <xdr:to>
      <xdr:col>3</xdr:col>
      <xdr:colOff>361950</xdr:colOff>
      <xdr:row>37</xdr:row>
      <xdr:rowOff>114300</xdr:rowOff>
    </xdr:to>
    <xdr:sp macro="" textlink="">
      <xdr:nvSpPr>
        <xdr:cNvPr id="2070407" name="Text Box 462"/>
        <xdr:cNvSpPr txBox="1">
          <a:spLocks noChangeArrowheads="1"/>
        </xdr:cNvSpPr>
      </xdr:nvSpPr>
      <xdr:spPr bwMode="auto">
        <a:xfrm>
          <a:off x="3133725" y="5267325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36</xdr:row>
      <xdr:rowOff>0</xdr:rowOff>
    </xdr:from>
    <xdr:to>
      <xdr:col>3</xdr:col>
      <xdr:colOff>361950</xdr:colOff>
      <xdr:row>37</xdr:row>
      <xdr:rowOff>28575</xdr:rowOff>
    </xdr:to>
    <xdr:sp macro="" textlink="">
      <xdr:nvSpPr>
        <xdr:cNvPr id="2070408" name="Text Box 528"/>
        <xdr:cNvSpPr txBox="1">
          <a:spLocks noChangeArrowheads="1"/>
        </xdr:cNvSpPr>
      </xdr:nvSpPr>
      <xdr:spPr bwMode="auto">
        <a:xfrm>
          <a:off x="3133725" y="5181600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36</xdr:row>
      <xdr:rowOff>0</xdr:rowOff>
    </xdr:from>
    <xdr:to>
      <xdr:col>3</xdr:col>
      <xdr:colOff>361950</xdr:colOff>
      <xdr:row>37</xdr:row>
      <xdr:rowOff>38100</xdr:rowOff>
    </xdr:to>
    <xdr:sp macro="" textlink="">
      <xdr:nvSpPr>
        <xdr:cNvPr id="2070409" name="Text Box 529"/>
        <xdr:cNvSpPr txBox="1">
          <a:spLocks noChangeArrowheads="1"/>
        </xdr:cNvSpPr>
      </xdr:nvSpPr>
      <xdr:spPr bwMode="auto">
        <a:xfrm>
          <a:off x="3133725" y="5181600"/>
          <a:ext cx="95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36</xdr:row>
      <xdr:rowOff>0</xdr:rowOff>
    </xdr:from>
    <xdr:to>
      <xdr:col>3</xdr:col>
      <xdr:colOff>361950</xdr:colOff>
      <xdr:row>37</xdr:row>
      <xdr:rowOff>28575</xdr:rowOff>
    </xdr:to>
    <xdr:sp macro="" textlink="">
      <xdr:nvSpPr>
        <xdr:cNvPr id="2070410" name="Text Box 532"/>
        <xdr:cNvSpPr txBox="1">
          <a:spLocks noChangeArrowheads="1"/>
        </xdr:cNvSpPr>
      </xdr:nvSpPr>
      <xdr:spPr bwMode="auto">
        <a:xfrm>
          <a:off x="3133725" y="5181600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36</xdr:row>
      <xdr:rowOff>85725</xdr:rowOff>
    </xdr:from>
    <xdr:to>
      <xdr:col>3</xdr:col>
      <xdr:colOff>361950</xdr:colOff>
      <xdr:row>37</xdr:row>
      <xdr:rowOff>114300</xdr:rowOff>
    </xdr:to>
    <xdr:sp macro="" textlink="">
      <xdr:nvSpPr>
        <xdr:cNvPr id="2070411" name="Text Box 533"/>
        <xdr:cNvSpPr txBox="1">
          <a:spLocks noChangeArrowheads="1"/>
        </xdr:cNvSpPr>
      </xdr:nvSpPr>
      <xdr:spPr bwMode="auto">
        <a:xfrm>
          <a:off x="3133725" y="5267325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36</xdr:row>
      <xdr:rowOff>0</xdr:rowOff>
    </xdr:from>
    <xdr:to>
      <xdr:col>3</xdr:col>
      <xdr:colOff>361950</xdr:colOff>
      <xdr:row>37</xdr:row>
      <xdr:rowOff>28575</xdr:rowOff>
    </xdr:to>
    <xdr:sp macro="" textlink="">
      <xdr:nvSpPr>
        <xdr:cNvPr id="2070412" name="Text Box 534"/>
        <xdr:cNvSpPr txBox="1">
          <a:spLocks noChangeArrowheads="1"/>
        </xdr:cNvSpPr>
      </xdr:nvSpPr>
      <xdr:spPr bwMode="auto">
        <a:xfrm>
          <a:off x="3133725" y="5181600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36</xdr:row>
      <xdr:rowOff>85725</xdr:rowOff>
    </xdr:from>
    <xdr:to>
      <xdr:col>3</xdr:col>
      <xdr:colOff>361950</xdr:colOff>
      <xdr:row>37</xdr:row>
      <xdr:rowOff>114300</xdr:rowOff>
    </xdr:to>
    <xdr:sp macro="" textlink="">
      <xdr:nvSpPr>
        <xdr:cNvPr id="2070413" name="Text Box 535"/>
        <xdr:cNvSpPr txBox="1">
          <a:spLocks noChangeArrowheads="1"/>
        </xdr:cNvSpPr>
      </xdr:nvSpPr>
      <xdr:spPr bwMode="auto">
        <a:xfrm>
          <a:off x="3133725" y="5267325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37</xdr:row>
      <xdr:rowOff>0</xdr:rowOff>
    </xdr:from>
    <xdr:to>
      <xdr:col>3</xdr:col>
      <xdr:colOff>361950</xdr:colOff>
      <xdr:row>38</xdr:row>
      <xdr:rowOff>28575</xdr:rowOff>
    </xdr:to>
    <xdr:sp macro="" textlink="">
      <xdr:nvSpPr>
        <xdr:cNvPr id="2070414" name="Text Box 8"/>
        <xdr:cNvSpPr txBox="1">
          <a:spLocks noChangeArrowheads="1"/>
        </xdr:cNvSpPr>
      </xdr:nvSpPr>
      <xdr:spPr bwMode="auto">
        <a:xfrm>
          <a:off x="3133725" y="5343525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37</xdr:row>
      <xdr:rowOff>0</xdr:rowOff>
    </xdr:from>
    <xdr:to>
      <xdr:col>3</xdr:col>
      <xdr:colOff>361950</xdr:colOff>
      <xdr:row>38</xdr:row>
      <xdr:rowOff>38100</xdr:rowOff>
    </xdr:to>
    <xdr:sp macro="" textlink="">
      <xdr:nvSpPr>
        <xdr:cNvPr id="2070415" name="Text Box 9"/>
        <xdr:cNvSpPr txBox="1">
          <a:spLocks noChangeArrowheads="1"/>
        </xdr:cNvSpPr>
      </xdr:nvSpPr>
      <xdr:spPr bwMode="auto">
        <a:xfrm>
          <a:off x="3133725" y="5343525"/>
          <a:ext cx="95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37</xdr:row>
      <xdr:rowOff>0</xdr:rowOff>
    </xdr:from>
    <xdr:to>
      <xdr:col>3</xdr:col>
      <xdr:colOff>361950</xdr:colOff>
      <xdr:row>38</xdr:row>
      <xdr:rowOff>28575</xdr:rowOff>
    </xdr:to>
    <xdr:sp macro="" textlink="">
      <xdr:nvSpPr>
        <xdr:cNvPr id="2070416" name="Text Box 38"/>
        <xdr:cNvSpPr txBox="1">
          <a:spLocks noChangeArrowheads="1"/>
        </xdr:cNvSpPr>
      </xdr:nvSpPr>
      <xdr:spPr bwMode="auto">
        <a:xfrm>
          <a:off x="3133725" y="5343525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37</xdr:row>
      <xdr:rowOff>0</xdr:rowOff>
    </xdr:from>
    <xdr:to>
      <xdr:col>3</xdr:col>
      <xdr:colOff>361950</xdr:colOff>
      <xdr:row>38</xdr:row>
      <xdr:rowOff>38100</xdr:rowOff>
    </xdr:to>
    <xdr:sp macro="" textlink="">
      <xdr:nvSpPr>
        <xdr:cNvPr id="2070417" name="Text Box 39"/>
        <xdr:cNvSpPr txBox="1">
          <a:spLocks noChangeArrowheads="1"/>
        </xdr:cNvSpPr>
      </xdr:nvSpPr>
      <xdr:spPr bwMode="auto">
        <a:xfrm>
          <a:off x="3133725" y="5343525"/>
          <a:ext cx="95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37</xdr:row>
      <xdr:rowOff>0</xdr:rowOff>
    </xdr:from>
    <xdr:to>
      <xdr:col>3</xdr:col>
      <xdr:colOff>361950</xdr:colOff>
      <xdr:row>38</xdr:row>
      <xdr:rowOff>28575</xdr:rowOff>
    </xdr:to>
    <xdr:sp macro="" textlink="">
      <xdr:nvSpPr>
        <xdr:cNvPr id="2070418" name="Text Box 46"/>
        <xdr:cNvSpPr txBox="1">
          <a:spLocks noChangeArrowheads="1"/>
        </xdr:cNvSpPr>
      </xdr:nvSpPr>
      <xdr:spPr bwMode="auto">
        <a:xfrm>
          <a:off x="3133725" y="5343525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37</xdr:row>
      <xdr:rowOff>0</xdr:rowOff>
    </xdr:from>
    <xdr:to>
      <xdr:col>3</xdr:col>
      <xdr:colOff>361950</xdr:colOff>
      <xdr:row>38</xdr:row>
      <xdr:rowOff>38100</xdr:rowOff>
    </xdr:to>
    <xdr:sp macro="" textlink="">
      <xdr:nvSpPr>
        <xdr:cNvPr id="2070419" name="Text Box 47"/>
        <xdr:cNvSpPr txBox="1">
          <a:spLocks noChangeArrowheads="1"/>
        </xdr:cNvSpPr>
      </xdr:nvSpPr>
      <xdr:spPr bwMode="auto">
        <a:xfrm>
          <a:off x="3133725" y="5343525"/>
          <a:ext cx="95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37</xdr:row>
      <xdr:rowOff>0</xdr:rowOff>
    </xdr:from>
    <xdr:to>
      <xdr:col>3</xdr:col>
      <xdr:colOff>361950</xdr:colOff>
      <xdr:row>38</xdr:row>
      <xdr:rowOff>28575</xdr:rowOff>
    </xdr:to>
    <xdr:sp macro="" textlink="">
      <xdr:nvSpPr>
        <xdr:cNvPr id="2070420" name="Text Box 157"/>
        <xdr:cNvSpPr txBox="1">
          <a:spLocks noChangeArrowheads="1"/>
        </xdr:cNvSpPr>
      </xdr:nvSpPr>
      <xdr:spPr bwMode="auto">
        <a:xfrm>
          <a:off x="3133725" y="5343525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37</xdr:row>
      <xdr:rowOff>0</xdr:rowOff>
    </xdr:from>
    <xdr:to>
      <xdr:col>3</xdr:col>
      <xdr:colOff>361950</xdr:colOff>
      <xdr:row>38</xdr:row>
      <xdr:rowOff>38100</xdr:rowOff>
    </xdr:to>
    <xdr:sp macro="" textlink="">
      <xdr:nvSpPr>
        <xdr:cNvPr id="2070421" name="Text Box 158"/>
        <xdr:cNvSpPr txBox="1">
          <a:spLocks noChangeArrowheads="1"/>
        </xdr:cNvSpPr>
      </xdr:nvSpPr>
      <xdr:spPr bwMode="auto">
        <a:xfrm>
          <a:off x="3133725" y="5343525"/>
          <a:ext cx="95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37</xdr:row>
      <xdr:rowOff>0</xdr:rowOff>
    </xdr:from>
    <xdr:to>
      <xdr:col>3</xdr:col>
      <xdr:colOff>361950</xdr:colOff>
      <xdr:row>38</xdr:row>
      <xdr:rowOff>28575</xdr:rowOff>
    </xdr:to>
    <xdr:sp macro="" textlink="">
      <xdr:nvSpPr>
        <xdr:cNvPr id="2070422" name="Text Box 230"/>
        <xdr:cNvSpPr txBox="1">
          <a:spLocks noChangeArrowheads="1"/>
        </xdr:cNvSpPr>
      </xdr:nvSpPr>
      <xdr:spPr bwMode="auto">
        <a:xfrm>
          <a:off x="3133725" y="5343525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37</xdr:row>
      <xdr:rowOff>0</xdr:rowOff>
    </xdr:from>
    <xdr:to>
      <xdr:col>3</xdr:col>
      <xdr:colOff>361950</xdr:colOff>
      <xdr:row>38</xdr:row>
      <xdr:rowOff>38100</xdr:rowOff>
    </xdr:to>
    <xdr:sp macro="" textlink="">
      <xdr:nvSpPr>
        <xdr:cNvPr id="2070423" name="Text Box 231"/>
        <xdr:cNvSpPr txBox="1">
          <a:spLocks noChangeArrowheads="1"/>
        </xdr:cNvSpPr>
      </xdr:nvSpPr>
      <xdr:spPr bwMode="auto">
        <a:xfrm>
          <a:off x="3133725" y="5343525"/>
          <a:ext cx="95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37</xdr:row>
      <xdr:rowOff>0</xdr:rowOff>
    </xdr:from>
    <xdr:to>
      <xdr:col>3</xdr:col>
      <xdr:colOff>361950</xdr:colOff>
      <xdr:row>38</xdr:row>
      <xdr:rowOff>28575</xdr:rowOff>
    </xdr:to>
    <xdr:sp macro="" textlink="">
      <xdr:nvSpPr>
        <xdr:cNvPr id="2070424" name="Text Box 453"/>
        <xdr:cNvSpPr txBox="1">
          <a:spLocks noChangeArrowheads="1"/>
        </xdr:cNvSpPr>
      </xdr:nvSpPr>
      <xdr:spPr bwMode="auto">
        <a:xfrm>
          <a:off x="3133725" y="5343525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37</xdr:row>
      <xdr:rowOff>85725</xdr:rowOff>
    </xdr:from>
    <xdr:to>
      <xdr:col>3</xdr:col>
      <xdr:colOff>361950</xdr:colOff>
      <xdr:row>38</xdr:row>
      <xdr:rowOff>114300</xdr:rowOff>
    </xdr:to>
    <xdr:sp macro="" textlink="">
      <xdr:nvSpPr>
        <xdr:cNvPr id="2070425" name="Text Box 454"/>
        <xdr:cNvSpPr txBox="1">
          <a:spLocks noChangeArrowheads="1"/>
        </xdr:cNvSpPr>
      </xdr:nvSpPr>
      <xdr:spPr bwMode="auto">
        <a:xfrm>
          <a:off x="3133725" y="5429250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37</xdr:row>
      <xdr:rowOff>0</xdr:rowOff>
    </xdr:from>
    <xdr:to>
      <xdr:col>3</xdr:col>
      <xdr:colOff>361950</xdr:colOff>
      <xdr:row>38</xdr:row>
      <xdr:rowOff>28575</xdr:rowOff>
    </xdr:to>
    <xdr:sp macro="" textlink="">
      <xdr:nvSpPr>
        <xdr:cNvPr id="2070426" name="Text Box 455"/>
        <xdr:cNvSpPr txBox="1">
          <a:spLocks noChangeArrowheads="1"/>
        </xdr:cNvSpPr>
      </xdr:nvSpPr>
      <xdr:spPr bwMode="auto">
        <a:xfrm>
          <a:off x="3133725" y="5343525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37</xdr:row>
      <xdr:rowOff>85725</xdr:rowOff>
    </xdr:from>
    <xdr:to>
      <xdr:col>3</xdr:col>
      <xdr:colOff>361950</xdr:colOff>
      <xdr:row>38</xdr:row>
      <xdr:rowOff>114300</xdr:rowOff>
    </xdr:to>
    <xdr:sp macro="" textlink="">
      <xdr:nvSpPr>
        <xdr:cNvPr id="2070427" name="Text Box 456"/>
        <xdr:cNvSpPr txBox="1">
          <a:spLocks noChangeArrowheads="1"/>
        </xdr:cNvSpPr>
      </xdr:nvSpPr>
      <xdr:spPr bwMode="auto">
        <a:xfrm>
          <a:off x="3133725" y="5429250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37</xdr:row>
      <xdr:rowOff>0</xdr:rowOff>
    </xdr:from>
    <xdr:to>
      <xdr:col>3</xdr:col>
      <xdr:colOff>361950</xdr:colOff>
      <xdr:row>38</xdr:row>
      <xdr:rowOff>28575</xdr:rowOff>
    </xdr:to>
    <xdr:sp macro="" textlink="">
      <xdr:nvSpPr>
        <xdr:cNvPr id="2070428" name="Text Box 457"/>
        <xdr:cNvSpPr txBox="1">
          <a:spLocks noChangeArrowheads="1"/>
        </xdr:cNvSpPr>
      </xdr:nvSpPr>
      <xdr:spPr bwMode="auto">
        <a:xfrm>
          <a:off x="3133725" y="5343525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37</xdr:row>
      <xdr:rowOff>85725</xdr:rowOff>
    </xdr:from>
    <xdr:to>
      <xdr:col>3</xdr:col>
      <xdr:colOff>361950</xdr:colOff>
      <xdr:row>38</xdr:row>
      <xdr:rowOff>114300</xdr:rowOff>
    </xdr:to>
    <xdr:sp macro="" textlink="">
      <xdr:nvSpPr>
        <xdr:cNvPr id="2070429" name="Text Box 458"/>
        <xdr:cNvSpPr txBox="1">
          <a:spLocks noChangeArrowheads="1"/>
        </xdr:cNvSpPr>
      </xdr:nvSpPr>
      <xdr:spPr bwMode="auto">
        <a:xfrm>
          <a:off x="3133725" y="5429250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37</xdr:row>
      <xdr:rowOff>0</xdr:rowOff>
    </xdr:from>
    <xdr:to>
      <xdr:col>3</xdr:col>
      <xdr:colOff>361950</xdr:colOff>
      <xdr:row>38</xdr:row>
      <xdr:rowOff>28575</xdr:rowOff>
    </xdr:to>
    <xdr:sp macro="" textlink="">
      <xdr:nvSpPr>
        <xdr:cNvPr id="2070430" name="Text Box 459"/>
        <xdr:cNvSpPr txBox="1">
          <a:spLocks noChangeArrowheads="1"/>
        </xdr:cNvSpPr>
      </xdr:nvSpPr>
      <xdr:spPr bwMode="auto">
        <a:xfrm>
          <a:off x="3133725" y="5343525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37</xdr:row>
      <xdr:rowOff>85725</xdr:rowOff>
    </xdr:from>
    <xdr:to>
      <xdr:col>3</xdr:col>
      <xdr:colOff>361950</xdr:colOff>
      <xdr:row>38</xdr:row>
      <xdr:rowOff>114300</xdr:rowOff>
    </xdr:to>
    <xdr:sp macro="" textlink="">
      <xdr:nvSpPr>
        <xdr:cNvPr id="2070431" name="Text Box 460"/>
        <xdr:cNvSpPr txBox="1">
          <a:spLocks noChangeArrowheads="1"/>
        </xdr:cNvSpPr>
      </xdr:nvSpPr>
      <xdr:spPr bwMode="auto">
        <a:xfrm>
          <a:off x="3133725" y="5429250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37</xdr:row>
      <xdr:rowOff>0</xdr:rowOff>
    </xdr:from>
    <xdr:to>
      <xdr:col>3</xdr:col>
      <xdr:colOff>361950</xdr:colOff>
      <xdr:row>38</xdr:row>
      <xdr:rowOff>28575</xdr:rowOff>
    </xdr:to>
    <xdr:sp macro="" textlink="">
      <xdr:nvSpPr>
        <xdr:cNvPr id="2070432" name="Text Box 461"/>
        <xdr:cNvSpPr txBox="1">
          <a:spLocks noChangeArrowheads="1"/>
        </xdr:cNvSpPr>
      </xdr:nvSpPr>
      <xdr:spPr bwMode="auto">
        <a:xfrm>
          <a:off x="3133725" y="5343525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37</xdr:row>
      <xdr:rowOff>85725</xdr:rowOff>
    </xdr:from>
    <xdr:to>
      <xdr:col>3</xdr:col>
      <xdr:colOff>361950</xdr:colOff>
      <xdr:row>38</xdr:row>
      <xdr:rowOff>114300</xdr:rowOff>
    </xdr:to>
    <xdr:sp macro="" textlink="">
      <xdr:nvSpPr>
        <xdr:cNvPr id="2070433" name="Text Box 462"/>
        <xdr:cNvSpPr txBox="1">
          <a:spLocks noChangeArrowheads="1"/>
        </xdr:cNvSpPr>
      </xdr:nvSpPr>
      <xdr:spPr bwMode="auto">
        <a:xfrm>
          <a:off x="3133725" y="5429250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37</xdr:row>
      <xdr:rowOff>0</xdr:rowOff>
    </xdr:from>
    <xdr:to>
      <xdr:col>3</xdr:col>
      <xdr:colOff>361950</xdr:colOff>
      <xdr:row>38</xdr:row>
      <xdr:rowOff>28575</xdr:rowOff>
    </xdr:to>
    <xdr:sp macro="" textlink="">
      <xdr:nvSpPr>
        <xdr:cNvPr id="2070434" name="Text Box 528"/>
        <xdr:cNvSpPr txBox="1">
          <a:spLocks noChangeArrowheads="1"/>
        </xdr:cNvSpPr>
      </xdr:nvSpPr>
      <xdr:spPr bwMode="auto">
        <a:xfrm>
          <a:off x="3133725" y="5343525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37</xdr:row>
      <xdr:rowOff>0</xdr:rowOff>
    </xdr:from>
    <xdr:to>
      <xdr:col>3</xdr:col>
      <xdr:colOff>361950</xdr:colOff>
      <xdr:row>38</xdr:row>
      <xdr:rowOff>38100</xdr:rowOff>
    </xdr:to>
    <xdr:sp macro="" textlink="">
      <xdr:nvSpPr>
        <xdr:cNvPr id="2070435" name="Text Box 529"/>
        <xdr:cNvSpPr txBox="1">
          <a:spLocks noChangeArrowheads="1"/>
        </xdr:cNvSpPr>
      </xdr:nvSpPr>
      <xdr:spPr bwMode="auto">
        <a:xfrm>
          <a:off x="3133725" y="5343525"/>
          <a:ext cx="95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37</xdr:row>
      <xdr:rowOff>0</xdr:rowOff>
    </xdr:from>
    <xdr:to>
      <xdr:col>3</xdr:col>
      <xdr:colOff>361950</xdr:colOff>
      <xdr:row>38</xdr:row>
      <xdr:rowOff>28575</xdr:rowOff>
    </xdr:to>
    <xdr:sp macro="" textlink="">
      <xdr:nvSpPr>
        <xdr:cNvPr id="2070436" name="Text Box 532"/>
        <xdr:cNvSpPr txBox="1">
          <a:spLocks noChangeArrowheads="1"/>
        </xdr:cNvSpPr>
      </xdr:nvSpPr>
      <xdr:spPr bwMode="auto">
        <a:xfrm>
          <a:off x="3133725" y="5343525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37</xdr:row>
      <xdr:rowOff>85725</xdr:rowOff>
    </xdr:from>
    <xdr:to>
      <xdr:col>3</xdr:col>
      <xdr:colOff>361950</xdr:colOff>
      <xdr:row>38</xdr:row>
      <xdr:rowOff>114300</xdr:rowOff>
    </xdr:to>
    <xdr:sp macro="" textlink="">
      <xdr:nvSpPr>
        <xdr:cNvPr id="2070437" name="Text Box 533"/>
        <xdr:cNvSpPr txBox="1">
          <a:spLocks noChangeArrowheads="1"/>
        </xdr:cNvSpPr>
      </xdr:nvSpPr>
      <xdr:spPr bwMode="auto">
        <a:xfrm>
          <a:off x="3133725" y="5429250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37</xdr:row>
      <xdr:rowOff>0</xdr:rowOff>
    </xdr:from>
    <xdr:to>
      <xdr:col>3</xdr:col>
      <xdr:colOff>361950</xdr:colOff>
      <xdr:row>38</xdr:row>
      <xdr:rowOff>28575</xdr:rowOff>
    </xdr:to>
    <xdr:sp macro="" textlink="">
      <xdr:nvSpPr>
        <xdr:cNvPr id="2070438" name="Text Box 534"/>
        <xdr:cNvSpPr txBox="1">
          <a:spLocks noChangeArrowheads="1"/>
        </xdr:cNvSpPr>
      </xdr:nvSpPr>
      <xdr:spPr bwMode="auto">
        <a:xfrm>
          <a:off x="3133725" y="5343525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37</xdr:row>
      <xdr:rowOff>85725</xdr:rowOff>
    </xdr:from>
    <xdr:to>
      <xdr:col>3</xdr:col>
      <xdr:colOff>361950</xdr:colOff>
      <xdr:row>38</xdr:row>
      <xdr:rowOff>114300</xdr:rowOff>
    </xdr:to>
    <xdr:sp macro="" textlink="">
      <xdr:nvSpPr>
        <xdr:cNvPr id="2070439" name="Text Box 535"/>
        <xdr:cNvSpPr txBox="1">
          <a:spLocks noChangeArrowheads="1"/>
        </xdr:cNvSpPr>
      </xdr:nvSpPr>
      <xdr:spPr bwMode="auto">
        <a:xfrm>
          <a:off x="3133725" y="5429250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77</xdr:row>
      <xdr:rowOff>0</xdr:rowOff>
    </xdr:from>
    <xdr:to>
      <xdr:col>3</xdr:col>
      <xdr:colOff>361950</xdr:colOff>
      <xdr:row>80</xdr:row>
      <xdr:rowOff>28575</xdr:rowOff>
    </xdr:to>
    <xdr:sp macro="" textlink="">
      <xdr:nvSpPr>
        <xdr:cNvPr id="2070440" name="Text Box 314"/>
        <xdr:cNvSpPr txBox="1">
          <a:spLocks noChangeArrowheads="1"/>
        </xdr:cNvSpPr>
      </xdr:nvSpPr>
      <xdr:spPr bwMode="auto">
        <a:xfrm>
          <a:off x="3133725" y="11172825"/>
          <a:ext cx="95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77</xdr:row>
      <xdr:rowOff>0</xdr:rowOff>
    </xdr:from>
    <xdr:to>
      <xdr:col>3</xdr:col>
      <xdr:colOff>361950</xdr:colOff>
      <xdr:row>80</xdr:row>
      <xdr:rowOff>28575</xdr:rowOff>
    </xdr:to>
    <xdr:sp macro="" textlink="">
      <xdr:nvSpPr>
        <xdr:cNvPr id="2070441" name="Text Box 315"/>
        <xdr:cNvSpPr txBox="1">
          <a:spLocks noChangeArrowheads="1"/>
        </xdr:cNvSpPr>
      </xdr:nvSpPr>
      <xdr:spPr bwMode="auto">
        <a:xfrm>
          <a:off x="3133725" y="11172825"/>
          <a:ext cx="95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86</xdr:row>
      <xdr:rowOff>0</xdr:rowOff>
    </xdr:from>
    <xdr:to>
      <xdr:col>3</xdr:col>
      <xdr:colOff>361950</xdr:colOff>
      <xdr:row>87</xdr:row>
      <xdr:rowOff>28575</xdr:rowOff>
    </xdr:to>
    <xdr:sp macro="" textlink="">
      <xdr:nvSpPr>
        <xdr:cNvPr id="2070442" name="Text Box 212"/>
        <xdr:cNvSpPr txBox="1">
          <a:spLocks noChangeArrowheads="1"/>
        </xdr:cNvSpPr>
      </xdr:nvSpPr>
      <xdr:spPr bwMode="auto">
        <a:xfrm>
          <a:off x="3133725" y="12630150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86</xdr:row>
      <xdr:rowOff>0</xdr:rowOff>
    </xdr:from>
    <xdr:to>
      <xdr:col>3</xdr:col>
      <xdr:colOff>361950</xdr:colOff>
      <xdr:row>87</xdr:row>
      <xdr:rowOff>28575</xdr:rowOff>
    </xdr:to>
    <xdr:sp macro="" textlink="">
      <xdr:nvSpPr>
        <xdr:cNvPr id="2070443" name="Text Box 213"/>
        <xdr:cNvSpPr txBox="1">
          <a:spLocks noChangeArrowheads="1"/>
        </xdr:cNvSpPr>
      </xdr:nvSpPr>
      <xdr:spPr bwMode="auto">
        <a:xfrm>
          <a:off x="3133725" y="12630150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</xdr:row>
      <xdr:rowOff>66675</xdr:rowOff>
    </xdr:from>
    <xdr:to>
      <xdr:col>3</xdr:col>
      <xdr:colOff>400050</xdr:colOff>
      <xdr:row>4</xdr:row>
      <xdr:rowOff>76200</xdr:rowOff>
    </xdr:to>
    <xdr:sp macro="" textlink="">
      <xdr:nvSpPr>
        <xdr:cNvPr id="2070444" name="Text Box 2"/>
        <xdr:cNvSpPr txBox="1">
          <a:spLocks noChangeArrowheads="1"/>
        </xdr:cNvSpPr>
      </xdr:nvSpPr>
      <xdr:spPr bwMode="auto">
        <a:xfrm>
          <a:off x="3076575" y="7620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400050</xdr:colOff>
      <xdr:row>35</xdr:row>
      <xdr:rowOff>28575</xdr:rowOff>
    </xdr:to>
    <xdr:sp macro="" textlink="">
      <xdr:nvSpPr>
        <xdr:cNvPr id="2070445" name="Text Box 8"/>
        <xdr:cNvSpPr txBox="1">
          <a:spLocks noChangeArrowheads="1"/>
        </xdr:cNvSpPr>
      </xdr:nvSpPr>
      <xdr:spPr bwMode="auto">
        <a:xfrm>
          <a:off x="3076575" y="48577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400050</xdr:colOff>
      <xdr:row>35</xdr:row>
      <xdr:rowOff>38100</xdr:rowOff>
    </xdr:to>
    <xdr:sp macro="" textlink="">
      <xdr:nvSpPr>
        <xdr:cNvPr id="2070446" name="Text Box 9"/>
        <xdr:cNvSpPr txBox="1">
          <a:spLocks noChangeArrowheads="1"/>
        </xdr:cNvSpPr>
      </xdr:nvSpPr>
      <xdr:spPr bwMode="auto">
        <a:xfrm>
          <a:off x="3076575" y="4857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73</xdr:row>
      <xdr:rowOff>0</xdr:rowOff>
    </xdr:from>
    <xdr:to>
      <xdr:col>3</xdr:col>
      <xdr:colOff>400050</xdr:colOff>
      <xdr:row>75</xdr:row>
      <xdr:rowOff>28575</xdr:rowOff>
    </xdr:to>
    <xdr:sp macro="" textlink="">
      <xdr:nvSpPr>
        <xdr:cNvPr id="2070447" name="Text Box 15"/>
        <xdr:cNvSpPr txBox="1">
          <a:spLocks noChangeArrowheads="1"/>
        </xdr:cNvSpPr>
      </xdr:nvSpPr>
      <xdr:spPr bwMode="auto">
        <a:xfrm>
          <a:off x="3076575" y="108489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73</xdr:row>
      <xdr:rowOff>0</xdr:rowOff>
    </xdr:from>
    <xdr:to>
      <xdr:col>3</xdr:col>
      <xdr:colOff>400050</xdr:colOff>
      <xdr:row>75</xdr:row>
      <xdr:rowOff>28575</xdr:rowOff>
    </xdr:to>
    <xdr:sp macro="" textlink="">
      <xdr:nvSpPr>
        <xdr:cNvPr id="2070448" name="Text Box 22"/>
        <xdr:cNvSpPr txBox="1">
          <a:spLocks noChangeArrowheads="1"/>
        </xdr:cNvSpPr>
      </xdr:nvSpPr>
      <xdr:spPr bwMode="auto">
        <a:xfrm>
          <a:off x="3076575" y="108489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400050</xdr:colOff>
      <xdr:row>35</xdr:row>
      <xdr:rowOff>28575</xdr:rowOff>
    </xdr:to>
    <xdr:sp macro="" textlink="">
      <xdr:nvSpPr>
        <xdr:cNvPr id="2070449" name="Text Box 38"/>
        <xdr:cNvSpPr txBox="1">
          <a:spLocks noChangeArrowheads="1"/>
        </xdr:cNvSpPr>
      </xdr:nvSpPr>
      <xdr:spPr bwMode="auto">
        <a:xfrm>
          <a:off x="3076575" y="48577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400050</xdr:colOff>
      <xdr:row>35</xdr:row>
      <xdr:rowOff>38100</xdr:rowOff>
    </xdr:to>
    <xdr:sp macro="" textlink="">
      <xdr:nvSpPr>
        <xdr:cNvPr id="2070450" name="Text Box 39"/>
        <xdr:cNvSpPr txBox="1">
          <a:spLocks noChangeArrowheads="1"/>
        </xdr:cNvSpPr>
      </xdr:nvSpPr>
      <xdr:spPr bwMode="auto">
        <a:xfrm>
          <a:off x="3076575" y="4857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400050</xdr:colOff>
      <xdr:row>35</xdr:row>
      <xdr:rowOff>28575</xdr:rowOff>
    </xdr:to>
    <xdr:sp macro="" textlink="">
      <xdr:nvSpPr>
        <xdr:cNvPr id="2070451" name="Text Box 46"/>
        <xdr:cNvSpPr txBox="1">
          <a:spLocks noChangeArrowheads="1"/>
        </xdr:cNvSpPr>
      </xdr:nvSpPr>
      <xdr:spPr bwMode="auto">
        <a:xfrm>
          <a:off x="3076575" y="48577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400050</xdr:colOff>
      <xdr:row>35</xdr:row>
      <xdr:rowOff>38100</xdr:rowOff>
    </xdr:to>
    <xdr:sp macro="" textlink="">
      <xdr:nvSpPr>
        <xdr:cNvPr id="2070452" name="Text Box 47"/>
        <xdr:cNvSpPr txBox="1">
          <a:spLocks noChangeArrowheads="1"/>
        </xdr:cNvSpPr>
      </xdr:nvSpPr>
      <xdr:spPr bwMode="auto">
        <a:xfrm>
          <a:off x="3076575" y="4857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72</xdr:row>
      <xdr:rowOff>95250</xdr:rowOff>
    </xdr:from>
    <xdr:to>
      <xdr:col>3</xdr:col>
      <xdr:colOff>400050</xdr:colOff>
      <xdr:row>73</xdr:row>
      <xdr:rowOff>123825</xdr:rowOff>
    </xdr:to>
    <xdr:sp macro="" textlink="">
      <xdr:nvSpPr>
        <xdr:cNvPr id="2070453" name="Text Box 48"/>
        <xdr:cNvSpPr txBox="1">
          <a:spLocks noChangeArrowheads="1"/>
        </xdr:cNvSpPr>
      </xdr:nvSpPr>
      <xdr:spPr bwMode="auto">
        <a:xfrm>
          <a:off x="3076575" y="10782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143</xdr:row>
      <xdr:rowOff>9525</xdr:rowOff>
    </xdr:from>
    <xdr:to>
      <xdr:col>3</xdr:col>
      <xdr:colOff>400050</xdr:colOff>
      <xdr:row>147</xdr:row>
      <xdr:rowOff>28575</xdr:rowOff>
    </xdr:to>
    <xdr:sp macro="" textlink="">
      <xdr:nvSpPr>
        <xdr:cNvPr id="2070454" name="Text Box 59"/>
        <xdr:cNvSpPr txBox="1">
          <a:spLocks noChangeArrowheads="1"/>
        </xdr:cNvSpPr>
      </xdr:nvSpPr>
      <xdr:spPr bwMode="auto">
        <a:xfrm>
          <a:off x="3076575" y="21221700"/>
          <a:ext cx="1047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143</xdr:row>
      <xdr:rowOff>9525</xdr:rowOff>
    </xdr:from>
    <xdr:to>
      <xdr:col>3</xdr:col>
      <xdr:colOff>400050</xdr:colOff>
      <xdr:row>147</xdr:row>
      <xdr:rowOff>28575</xdr:rowOff>
    </xdr:to>
    <xdr:sp macro="" textlink="">
      <xdr:nvSpPr>
        <xdr:cNvPr id="2070455" name="Text Box 77"/>
        <xdr:cNvSpPr txBox="1">
          <a:spLocks noChangeArrowheads="1"/>
        </xdr:cNvSpPr>
      </xdr:nvSpPr>
      <xdr:spPr bwMode="auto">
        <a:xfrm>
          <a:off x="3076575" y="21221700"/>
          <a:ext cx="1047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400050</xdr:colOff>
      <xdr:row>35</xdr:row>
      <xdr:rowOff>28575</xdr:rowOff>
    </xdr:to>
    <xdr:sp macro="" textlink="">
      <xdr:nvSpPr>
        <xdr:cNvPr id="2070456" name="Text Box 157"/>
        <xdr:cNvSpPr txBox="1">
          <a:spLocks noChangeArrowheads="1"/>
        </xdr:cNvSpPr>
      </xdr:nvSpPr>
      <xdr:spPr bwMode="auto">
        <a:xfrm>
          <a:off x="3076575" y="48577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400050</xdr:colOff>
      <xdr:row>35</xdr:row>
      <xdr:rowOff>38100</xdr:rowOff>
    </xdr:to>
    <xdr:sp macro="" textlink="">
      <xdr:nvSpPr>
        <xdr:cNvPr id="2070457" name="Text Box 158"/>
        <xdr:cNvSpPr txBox="1">
          <a:spLocks noChangeArrowheads="1"/>
        </xdr:cNvSpPr>
      </xdr:nvSpPr>
      <xdr:spPr bwMode="auto">
        <a:xfrm>
          <a:off x="3076575" y="4857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38</xdr:row>
      <xdr:rowOff>0</xdr:rowOff>
    </xdr:from>
    <xdr:to>
      <xdr:col>3</xdr:col>
      <xdr:colOff>400050</xdr:colOff>
      <xdr:row>39</xdr:row>
      <xdr:rowOff>28575</xdr:rowOff>
    </xdr:to>
    <xdr:sp macro="" textlink="">
      <xdr:nvSpPr>
        <xdr:cNvPr id="2070458" name="Text Box 168"/>
        <xdr:cNvSpPr txBox="1">
          <a:spLocks noChangeArrowheads="1"/>
        </xdr:cNvSpPr>
      </xdr:nvSpPr>
      <xdr:spPr bwMode="auto">
        <a:xfrm>
          <a:off x="3076575" y="55054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38</xdr:row>
      <xdr:rowOff>0</xdr:rowOff>
    </xdr:from>
    <xdr:to>
      <xdr:col>3</xdr:col>
      <xdr:colOff>400050</xdr:colOff>
      <xdr:row>39</xdr:row>
      <xdr:rowOff>28575</xdr:rowOff>
    </xdr:to>
    <xdr:sp macro="" textlink="">
      <xdr:nvSpPr>
        <xdr:cNvPr id="2070459" name="Text Box 169"/>
        <xdr:cNvSpPr txBox="1">
          <a:spLocks noChangeArrowheads="1"/>
        </xdr:cNvSpPr>
      </xdr:nvSpPr>
      <xdr:spPr bwMode="auto">
        <a:xfrm>
          <a:off x="3076575" y="55054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38</xdr:row>
      <xdr:rowOff>0</xdr:rowOff>
    </xdr:from>
    <xdr:to>
      <xdr:col>3</xdr:col>
      <xdr:colOff>400050</xdr:colOff>
      <xdr:row>39</xdr:row>
      <xdr:rowOff>28575</xdr:rowOff>
    </xdr:to>
    <xdr:sp macro="" textlink="">
      <xdr:nvSpPr>
        <xdr:cNvPr id="2070460" name="Text Box 170"/>
        <xdr:cNvSpPr txBox="1">
          <a:spLocks noChangeArrowheads="1"/>
        </xdr:cNvSpPr>
      </xdr:nvSpPr>
      <xdr:spPr bwMode="auto">
        <a:xfrm>
          <a:off x="3076575" y="55054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38</xdr:row>
      <xdr:rowOff>0</xdr:rowOff>
    </xdr:from>
    <xdr:to>
      <xdr:col>3</xdr:col>
      <xdr:colOff>400050</xdr:colOff>
      <xdr:row>39</xdr:row>
      <xdr:rowOff>28575</xdr:rowOff>
    </xdr:to>
    <xdr:sp macro="" textlink="">
      <xdr:nvSpPr>
        <xdr:cNvPr id="2070461" name="Text Box 171"/>
        <xdr:cNvSpPr txBox="1">
          <a:spLocks noChangeArrowheads="1"/>
        </xdr:cNvSpPr>
      </xdr:nvSpPr>
      <xdr:spPr bwMode="auto">
        <a:xfrm>
          <a:off x="3076575" y="55054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38</xdr:row>
      <xdr:rowOff>0</xdr:rowOff>
    </xdr:from>
    <xdr:to>
      <xdr:col>3</xdr:col>
      <xdr:colOff>400050</xdr:colOff>
      <xdr:row>39</xdr:row>
      <xdr:rowOff>28575</xdr:rowOff>
    </xdr:to>
    <xdr:sp macro="" textlink="">
      <xdr:nvSpPr>
        <xdr:cNvPr id="2070462" name="Text Box 172"/>
        <xdr:cNvSpPr txBox="1">
          <a:spLocks noChangeArrowheads="1"/>
        </xdr:cNvSpPr>
      </xdr:nvSpPr>
      <xdr:spPr bwMode="auto">
        <a:xfrm>
          <a:off x="3076575" y="55054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38</xdr:row>
      <xdr:rowOff>0</xdr:rowOff>
    </xdr:from>
    <xdr:to>
      <xdr:col>3</xdr:col>
      <xdr:colOff>400050</xdr:colOff>
      <xdr:row>39</xdr:row>
      <xdr:rowOff>28575</xdr:rowOff>
    </xdr:to>
    <xdr:sp macro="" textlink="">
      <xdr:nvSpPr>
        <xdr:cNvPr id="2070463" name="Text Box 173"/>
        <xdr:cNvSpPr txBox="1">
          <a:spLocks noChangeArrowheads="1"/>
        </xdr:cNvSpPr>
      </xdr:nvSpPr>
      <xdr:spPr bwMode="auto">
        <a:xfrm>
          <a:off x="3076575" y="55054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38</xdr:row>
      <xdr:rowOff>0</xdr:rowOff>
    </xdr:from>
    <xdr:to>
      <xdr:col>3</xdr:col>
      <xdr:colOff>400050</xdr:colOff>
      <xdr:row>39</xdr:row>
      <xdr:rowOff>28575</xdr:rowOff>
    </xdr:to>
    <xdr:sp macro="" textlink="">
      <xdr:nvSpPr>
        <xdr:cNvPr id="2070464" name="Text Box 174"/>
        <xdr:cNvSpPr txBox="1">
          <a:spLocks noChangeArrowheads="1"/>
        </xdr:cNvSpPr>
      </xdr:nvSpPr>
      <xdr:spPr bwMode="auto">
        <a:xfrm>
          <a:off x="3076575" y="55054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38</xdr:row>
      <xdr:rowOff>0</xdr:rowOff>
    </xdr:from>
    <xdr:to>
      <xdr:col>3</xdr:col>
      <xdr:colOff>400050</xdr:colOff>
      <xdr:row>39</xdr:row>
      <xdr:rowOff>28575</xdr:rowOff>
    </xdr:to>
    <xdr:sp macro="" textlink="">
      <xdr:nvSpPr>
        <xdr:cNvPr id="2070465" name="Text Box 175"/>
        <xdr:cNvSpPr txBox="1">
          <a:spLocks noChangeArrowheads="1"/>
        </xdr:cNvSpPr>
      </xdr:nvSpPr>
      <xdr:spPr bwMode="auto">
        <a:xfrm>
          <a:off x="3076575" y="55054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80</xdr:row>
      <xdr:rowOff>0</xdr:rowOff>
    </xdr:from>
    <xdr:to>
      <xdr:col>3</xdr:col>
      <xdr:colOff>400050</xdr:colOff>
      <xdr:row>85</xdr:row>
      <xdr:rowOff>28575</xdr:rowOff>
    </xdr:to>
    <xdr:sp macro="" textlink="">
      <xdr:nvSpPr>
        <xdr:cNvPr id="2070466" name="Text Box 176"/>
        <xdr:cNvSpPr txBox="1">
          <a:spLocks noChangeArrowheads="1"/>
        </xdr:cNvSpPr>
      </xdr:nvSpPr>
      <xdr:spPr bwMode="auto">
        <a:xfrm>
          <a:off x="3076575" y="11658600"/>
          <a:ext cx="1047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80</xdr:row>
      <xdr:rowOff>0</xdr:rowOff>
    </xdr:from>
    <xdr:to>
      <xdr:col>3</xdr:col>
      <xdr:colOff>400050</xdr:colOff>
      <xdr:row>85</xdr:row>
      <xdr:rowOff>28575</xdr:rowOff>
    </xdr:to>
    <xdr:sp macro="" textlink="">
      <xdr:nvSpPr>
        <xdr:cNvPr id="2070467" name="Text Box 177"/>
        <xdr:cNvSpPr txBox="1">
          <a:spLocks noChangeArrowheads="1"/>
        </xdr:cNvSpPr>
      </xdr:nvSpPr>
      <xdr:spPr bwMode="auto">
        <a:xfrm>
          <a:off x="3076575" y="11658600"/>
          <a:ext cx="1047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35</xdr:row>
      <xdr:rowOff>0</xdr:rowOff>
    </xdr:from>
    <xdr:to>
      <xdr:col>3</xdr:col>
      <xdr:colOff>400050</xdr:colOff>
      <xdr:row>35</xdr:row>
      <xdr:rowOff>161925</xdr:rowOff>
    </xdr:to>
    <xdr:sp macro="" textlink="">
      <xdr:nvSpPr>
        <xdr:cNvPr id="2070468" name="Text Box 188"/>
        <xdr:cNvSpPr txBox="1">
          <a:spLocks noChangeArrowheads="1"/>
        </xdr:cNvSpPr>
      </xdr:nvSpPr>
      <xdr:spPr bwMode="auto">
        <a:xfrm>
          <a:off x="3076575" y="50196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35</xdr:row>
      <xdr:rowOff>85725</xdr:rowOff>
    </xdr:from>
    <xdr:to>
      <xdr:col>3</xdr:col>
      <xdr:colOff>400050</xdr:colOff>
      <xdr:row>35</xdr:row>
      <xdr:rowOff>161925</xdr:rowOff>
    </xdr:to>
    <xdr:sp macro="" textlink="">
      <xdr:nvSpPr>
        <xdr:cNvPr id="2070469" name="Text Box 189"/>
        <xdr:cNvSpPr txBox="1">
          <a:spLocks noChangeArrowheads="1"/>
        </xdr:cNvSpPr>
      </xdr:nvSpPr>
      <xdr:spPr bwMode="auto">
        <a:xfrm>
          <a:off x="3076575" y="510540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35</xdr:row>
      <xdr:rowOff>0</xdr:rowOff>
    </xdr:from>
    <xdr:to>
      <xdr:col>3</xdr:col>
      <xdr:colOff>400050</xdr:colOff>
      <xdr:row>35</xdr:row>
      <xdr:rowOff>161925</xdr:rowOff>
    </xdr:to>
    <xdr:sp macro="" textlink="">
      <xdr:nvSpPr>
        <xdr:cNvPr id="2070470" name="Text Box 190"/>
        <xdr:cNvSpPr txBox="1">
          <a:spLocks noChangeArrowheads="1"/>
        </xdr:cNvSpPr>
      </xdr:nvSpPr>
      <xdr:spPr bwMode="auto">
        <a:xfrm>
          <a:off x="3076575" y="50196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35</xdr:row>
      <xdr:rowOff>85725</xdr:rowOff>
    </xdr:from>
    <xdr:to>
      <xdr:col>3</xdr:col>
      <xdr:colOff>400050</xdr:colOff>
      <xdr:row>35</xdr:row>
      <xdr:rowOff>161925</xdr:rowOff>
    </xdr:to>
    <xdr:sp macro="" textlink="">
      <xdr:nvSpPr>
        <xdr:cNvPr id="2070471" name="Text Box 191"/>
        <xdr:cNvSpPr txBox="1">
          <a:spLocks noChangeArrowheads="1"/>
        </xdr:cNvSpPr>
      </xdr:nvSpPr>
      <xdr:spPr bwMode="auto">
        <a:xfrm>
          <a:off x="3076575" y="510540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35</xdr:row>
      <xdr:rowOff>0</xdr:rowOff>
    </xdr:from>
    <xdr:to>
      <xdr:col>3</xdr:col>
      <xdr:colOff>400050</xdr:colOff>
      <xdr:row>35</xdr:row>
      <xdr:rowOff>161925</xdr:rowOff>
    </xdr:to>
    <xdr:sp macro="" textlink="">
      <xdr:nvSpPr>
        <xdr:cNvPr id="2070472" name="Text Box 192"/>
        <xdr:cNvSpPr txBox="1">
          <a:spLocks noChangeArrowheads="1"/>
        </xdr:cNvSpPr>
      </xdr:nvSpPr>
      <xdr:spPr bwMode="auto">
        <a:xfrm>
          <a:off x="3076575" y="50196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35</xdr:row>
      <xdr:rowOff>85725</xdr:rowOff>
    </xdr:from>
    <xdr:to>
      <xdr:col>3</xdr:col>
      <xdr:colOff>400050</xdr:colOff>
      <xdr:row>35</xdr:row>
      <xdr:rowOff>161925</xdr:rowOff>
    </xdr:to>
    <xdr:sp macro="" textlink="">
      <xdr:nvSpPr>
        <xdr:cNvPr id="2070473" name="Text Box 193"/>
        <xdr:cNvSpPr txBox="1">
          <a:spLocks noChangeArrowheads="1"/>
        </xdr:cNvSpPr>
      </xdr:nvSpPr>
      <xdr:spPr bwMode="auto">
        <a:xfrm>
          <a:off x="3076575" y="510540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35</xdr:row>
      <xdr:rowOff>0</xdr:rowOff>
    </xdr:from>
    <xdr:to>
      <xdr:col>3</xdr:col>
      <xdr:colOff>400050</xdr:colOff>
      <xdr:row>35</xdr:row>
      <xdr:rowOff>161925</xdr:rowOff>
    </xdr:to>
    <xdr:sp macro="" textlink="">
      <xdr:nvSpPr>
        <xdr:cNvPr id="2070474" name="Text Box 194"/>
        <xdr:cNvSpPr txBox="1">
          <a:spLocks noChangeArrowheads="1"/>
        </xdr:cNvSpPr>
      </xdr:nvSpPr>
      <xdr:spPr bwMode="auto">
        <a:xfrm>
          <a:off x="3076575" y="50196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35</xdr:row>
      <xdr:rowOff>85725</xdr:rowOff>
    </xdr:from>
    <xdr:to>
      <xdr:col>3</xdr:col>
      <xdr:colOff>400050</xdr:colOff>
      <xdr:row>35</xdr:row>
      <xdr:rowOff>161925</xdr:rowOff>
    </xdr:to>
    <xdr:sp macro="" textlink="">
      <xdr:nvSpPr>
        <xdr:cNvPr id="2070475" name="Text Box 195"/>
        <xdr:cNvSpPr txBox="1">
          <a:spLocks noChangeArrowheads="1"/>
        </xdr:cNvSpPr>
      </xdr:nvSpPr>
      <xdr:spPr bwMode="auto">
        <a:xfrm>
          <a:off x="3076575" y="510540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38</xdr:row>
      <xdr:rowOff>0</xdr:rowOff>
    </xdr:from>
    <xdr:to>
      <xdr:col>3</xdr:col>
      <xdr:colOff>400050</xdr:colOff>
      <xdr:row>39</xdr:row>
      <xdr:rowOff>28575</xdr:rowOff>
    </xdr:to>
    <xdr:sp macro="" textlink="">
      <xdr:nvSpPr>
        <xdr:cNvPr id="2070476" name="Text Box 198"/>
        <xdr:cNvSpPr txBox="1">
          <a:spLocks noChangeArrowheads="1"/>
        </xdr:cNvSpPr>
      </xdr:nvSpPr>
      <xdr:spPr bwMode="auto">
        <a:xfrm>
          <a:off x="3076575" y="55054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38</xdr:row>
      <xdr:rowOff>0</xdr:rowOff>
    </xdr:from>
    <xdr:to>
      <xdr:col>3</xdr:col>
      <xdr:colOff>400050</xdr:colOff>
      <xdr:row>39</xdr:row>
      <xdr:rowOff>28575</xdr:rowOff>
    </xdr:to>
    <xdr:sp macro="" textlink="">
      <xdr:nvSpPr>
        <xdr:cNvPr id="2070477" name="Text Box 199"/>
        <xdr:cNvSpPr txBox="1">
          <a:spLocks noChangeArrowheads="1"/>
        </xdr:cNvSpPr>
      </xdr:nvSpPr>
      <xdr:spPr bwMode="auto">
        <a:xfrm>
          <a:off x="3076575" y="55054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38</xdr:row>
      <xdr:rowOff>0</xdr:rowOff>
    </xdr:from>
    <xdr:to>
      <xdr:col>3</xdr:col>
      <xdr:colOff>400050</xdr:colOff>
      <xdr:row>39</xdr:row>
      <xdr:rowOff>28575</xdr:rowOff>
    </xdr:to>
    <xdr:sp macro="" textlink="">
      <xdr:nvSpPr>
        <xdr:cNvPr id="2070478" name="Text Box 200"/>
        <xdr:cNvSpPr txBox="1">
          <a:spLocks noChangeArrowheads="1"/>
        </xdr:cNvSpPr>
      </xdr:nvSpPr>
      <xdr:spPr bwMode="auto">
        <a:xfrm>
          <a:off x="3076575" y="55054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38</xdr:row>
      <xdr:rowOff>0</xdr:rowOff>
    </xdr:from>
    <xdr:to>
      <xdr:col>3</xdr:col>
      <xdr:colOff>400050</xdr:colOff>
      <xdr:row>39</xdr:row>
      <xdr:rowOff>28575</xdr:rowOff>
    </xdr:to>
    <xdr:sp macro="" textlink="">
      <xdr:nvSpPr>
        <xdr:cNvPr id="2070479" name="Text Box 201"/>
        <xdr:cNvSpPr txBox="1">
          <a:spLocks noChangeArrowheads="1"/>
        </xdr:cNvSpPr>
      </xdr:nvSpPr>
      <xdr:spPr bwMode="auto">
        <a:xfrm>
          <a:off x="3076575" y="55054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38</xdr:row>
      <xdr:rowOff>0</xdr:rowOff>
    </xdr:from>
    <xdr:to>
      <xdr:col>3</xdr:col>
      <xdr:colOff>400050</xdr:colOff>
      <xdr:row>39</xdr:row>
      <xdr:rowOff>28575</xdr:rowOff>
    </xdr:to>
    <xdr:sp macro="" textlink="">
      <xdr:nvSpPr>
        <xdr:cNvPr id="2070480" name="Text Box 202"/>
        <xdr:cNvSpPr txBox="1">
          <a:spLocks noChangeArrowheads="1"/>
        </xdr:cNvSpPr>
      </xdr:nvSpPr>
      <xdr:spPr bwMode="auto">
        <a:xfrm>
          <a:off x="3076575" y="55054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38</xdr:row>
      <xdr:rowOff>0</xdr:rowOff>
    </xdr:from>
    <xdr:to>
      <xdr:col>3</xdr:col>
      <xdr:colOff>400050</xdr:colOff>
      <xdr:row>39</xdr:row>
      <xdr:rowOff>28575</xdr:rowOff>
    </xdr:to>
    <xdr:sp macro="" textlink="">
      <xdr:nvSpPr>
        <xdr:cNvPr id="2070481" name="Text Box 203"/>
        <xdr:cNvSpPr txBox="1">
          <a:spLocks noChangeArrowheads="1"/>
        </xdr:cNvSpPr>
      </xdr:nvSpPr>
      <xdr:spPr bwMode="auto">
        <a:xfrm>
          <a:off x="3076575" y="55054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38</xdr:row>
      <xdr:rowOff>0</xdr:rowOff>
    </xdr:from>
    <xdr:to>
      <xdr:col>3</xdr:col>
      <xdr:colOff>400050</xdr:colOff>
      <xdr:row>39</xdr:row>
      <xdr:rowOff>28575</xdr:rowOff>
    </xdr:to>
    <xdr:sp macro="" textlink="">
      <xdr:nvSpPr>
        <xdr:cNvPr id="2070482" name="Text Box 204"/>
        <xdr:cNvSpPr txBox="1">
          <a:spLocks noChangeArrowheads="1"/>
        </xdr:cNvSpPr>
      </xdr:nvSpPr>
      <xdr:spPr bwMode="auto">
        <a:xfrm>
          <a:off x="3076575" y="55054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73</xdr:row>
      <xdr:rowOff>0</xdr:rowOff>
    </xdr:from>
    <xdr:to>
      <xdr:col>3</xdr:col>
      <xdr:colOff>400050</xdr:colOff>
      <xdr:row>75</xdr:row>
      <xdr:rowOff>28575</xdr:rowOff>
    </xdr:to>
    <xdr:sp macro="" textlink="">
      <xdr:nvSpPr>
        <xdr:cNvPr id="2070483" name="Text Box 207"/>
        <xdr:cNvSpPr txBox="1">
          <a:spLocks noChangeArrowheads="1"/>
        </xdr:cNvSpPr>
      </xdr:nvSpPr>
      <xdr:spPr bwMode="auto">
        <a:xfrm>
          <a:off x="3076575" y="108489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73</xdr:row>
      <xdr:rowOff>0</xdr:rowOff>
    </xdr:from>
    <xdr:to>
      <xdr:col>3</xdr:col>
      <xdr:colOff>400050</xdr:colOff>
      <xdr:row>75</xdr:row>
      <xdr:rowOff>28575</xdr:rowOff>
    </xdr:to>
    <xdr:sp macro="" textlink="">
      <xdr:nvSpPr>
        <xdr:cNvPr id="2070484" name="Text Box 208"/>
        <xdr:cNvSpPr txBox="1">
          <a:spLocks noChangeArrowheads="1"/>
        </xdr:cNvSpPr>
      </xdr:nvSpPr>
      <xdr:spPr bwMode="auto">
        <a:xfrm>
          <a:off x="3076575" y="108489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73</xdr:row>
      <xdr:rowOff>0</xdr:rowOff>
    </xdr:from>
    <xdr:to>
      <xdr:col>3</xdr:col>
      <xdr:colOff>400050</xdr:colOff>
      <xdr:row>75</xdr:row>
      <xdr:rowOff>28575</xdr:rowOff>
    </xdr:to>
    <xdr:sp macro="" textlink="">
      <xdr:nvSpPr>
        <xdr:cNvPr id="2070485" name="Text Box 209"/>
        <xdr:cNvSpPr txBox="1">
          <a:spLocks noChangeArrowheads="1"/>
        </xdr:cNvSpPr>
      </xdr:nvSpPr>
      <xdr:spPr bwMode="auto">
        <a:xfrm>
          <a:off x="3076575" y="108489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73</xdr:row>
      <xdr:rowOff>0</xdr:rowOff>
    </xdr:from>
    <xdr:to>
      <xdr:col>3</xdr:col>
      <xdr:colOff>400050</xdr:colOff>
      <xdr:row>75</xdr:row>
      <xdr:rowOff>28575</xdr:rowOff>
    </xdr:to>
    <xdr:sp macro="" textlink="">
      <xdr:nvSpPr>
        <xdr:cNvPr id="2070486" name="Text Box 210"/>
        <xdr:cNvSpPr txBox="1">
          <a:spLocks noChangeArrowheads="1"/>
        </xdr:cNvSpPr>
      </xdr:nvSpPr>
      <xdr:spPr bwMode="auto">
        <a:xfrm>
          <a:off x="3076575" y="108489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73</xdr:row>
      <xdr:rowOff>0</xdr:rowOff>
    </xdr:from>
    <xdr:to>
      <xdr:col>3</xdr:col>
      <xdr:colOff>400050</xdr:colOff>
      <xdr:row>75</xdr:row>
      <xdr:rowOff>28575</xdr:rowOff>
    </xdr:to>
    <xdr:sp macro="" textlink="">
      <xdr:nvSpPr>
        <xdr:cNvPr id="2070487" name="Text Box 211"/>
        <xdr:cNvSpPr txBox="1">
          <a:spLocks noChangeArrowheads="1"/>
        </xdr:cNvSpPr>
      </xdr:nvSpPr>
      <xdr:spPr bwMode="auto">
        <a:xfrm>
          <a:off x="3076575" y="108489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85</xdr:row>
      <xdr:rowOff>0</xdr:rowOff>
    </xdr:from>
    <xdr:to>
      <xdr:col>3</xdr:col>
      <xdr:colOff>400050</xdr:colOff>
      <xdr:row>86</xdr:row>
      <xdr:rowOff>28575</xdr:rowOff>
    </xdr:to>
    <xdr:sp macro="" textlink="">
      <xdr:nvSpPr>
        <xdr:cNvPr id="2070488" name="Text Box 212"/>
        <xdr:cNvSpPr txBox="1">
          <a:spLocks noChangeArrowheads="1"/>
        </xdr:cNvSpPr>
      </xdr:nvSpPr>
      <xdr:spPr bwMode="auto">
        <a:xfrm>
          <a:off x="3076575" y="124682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85</xdr:row>
      <xdr:rowOff>0</xdr:rowOff>
    </xdr:from>
    <xdr:to>
      <xdr:col>3</xdr:col>
      <xdr:colOff>400050</xdr:colOff>
      <xdr:row>86</xdr:row>
      <xdr:rowOff>28575</xdr:rowOff>
    </xdr:to>
    <xdr:sp macro="" textlink="">
      <xdr:nvSpPr>
        <xdr:cNvPr id="2070489" name="Text Box 213"/>
        <xdr:cNvSpPr txBox="1">
          <a:spLocks noChangeArrowheads="1"/>
        </xdr:cNvSpPr>
      </xdr:nvSpPr>
      <xdr:spPr bwMode="auto">
        <a:xfrm>
          <a:off x="3076575" y="124682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147</xdr:row>
      <xdr:rowOff>9525</xdr:rowOff>
    </xdr:from>
    <xdr:to>
      <xdr:col>3</xdr:col>
      <xdr:colOff>400050</xdr:colOff>
      <xdr:row>148</xdr:row>
      <xdr:rowOff>38100</xdr:rowOff>
    </xdr:to>
    <xdr:sp macro="" textlink="">
      <xdr:nvSpPr>
        <xdr:cNvPr id="2070490" name="Text Box 222"/>
        <xdr:cNvSpPr txBox="1">
          <a:spLocks noChangeArrowheads="1"/>
        </xdr:cNvSpPr>
      </xdr:nvSpPr>
      <xdr:spPr bwMode="auto">
        <a:xfrm>
          <a:off x="3076575" y="218694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147</xdr:row>
      <xdr:rowOff>9525</xdr:rowOff>
    </xdr:from>
    <xdr:to>
      <xdr:col>3</xdr:col>
      <xdr:colOff>400050</xdr:colOff>
      <xdr:row>148</xdr:row>
      <xdr:rowOff>38100</xdr:rowOff>
    </xdr:to>
    <xdr:sp macro="" textlink="">
      <xdr:nvSpPr>
        <xdr:cNvPr id="2070491" name="Text Box 223"/>
        <xdr:cNvSpPr txBox="1">
          <a:spLocks noChangeArrowheads="1"/>
        </xdr:cNvSpPr>
      </xdr:nvSpPr>
      <xdr:spPr bwMode="auto">
        <a:xfrm>
          <a:off x="3076575" y="218694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400050</xdr:colOff>
      <xdr:row>35</xdr:row>
      <xdr:rowOff>28575</xdr:rowOff>
    </xdr:to>
    <xdr:sp macro="" textlink="">
      <xdr:nvSpPr>
        <xdr:cNvPr id="2070492" name="Text Box 230"/>
        <xdr:cNvSpPr txBox="1">
          <a:spLocks noChangeArrowheads="1"/>
        </xdr:cNvSpPr>
      </xdr:nvSpPr>
      <xdr:spPr bwMode="auto">
        <a:xfrm>
          <a:off x="3076575" y="48577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400050</xdr:colOff>
      <xdr:row>35</xdr:row>
      <xdr:rowOff>38100</xdr:rowOff>
    </xdr:to>
    <xdr:sp macro="" textlink="">
      <xdr:nvSpPr>
        <xdr:cNvPr id="2070493" name="Text Box 231"/>
        <xdr:cNvSpPr txBox="1">
          <a:spLocks noChangeArrowheads="1"/>
        </xdr:cNvSpPr>
      </xdr:nvSpPr>
      <xdr:spPr bwMode="auto">
        <a:xfrm>
          <a:off x="3076575" y="4857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38</xdr:row>
      <xdr:rowOff>0</xdr:rowOff>
    </xdr:from>
    <xdr:to>
      <xdr:col>3</xdr:col>
      <xdr:colOff>400050</xdr:colOff>
      <xdr:row>39</xdr:row>
      <xdr:rowOff>28575</xdr:rowOff>
    </xdr:to>
    <xdr:sp macro="" textlink="">
      <xdr:nvSpPr>
        <xdr:cNvPr id="2070494" name="Text Box 260"/>
        <xdr:cNvSpPr txBox="1">
          <a:spLocks noChangeArrowheads="1"/>
        </xdr:cNvSpPr>
      </xdr:nvSpPr>
      <xdr:spPr bwMode="auto">
        <a:xfrm>
          <a:off x="3076575" y="55054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38</xdr:row>
      <xdr:rowOff>0</xdr:rowOff>
    </xdr:from>
    <xdr:to>
      <xdr:col>3</xdr:col>
      <xdr:colOff>400050</xdr:colOff>
      <xdr:row>39</xdr:row>
      <xdr:rowOff>28575</xdr:rowOff>
    </xdr:to>
    <xdr:sp macro="" textlink="">
      <xdr:nvSpPr>
        <xdr:cNvPr id="2070495" name="Text Box 261"/>
        <xdr:cNvSpPr txBox="1">
          <a:spLocks noChangeArrowheads="1"/>
        </xdr:cNvSpPr>
      </xdr:nvSpPr>
      <xdr:spPr bwMode="auto">
        <a:xfrm>
          <a:off x="3076575" y="55054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72</xdr:row>
      <xdr:rowOff>95250</xdr:rowOff>
    </xdr:from>
    <xdr:to>
      <xdr:col>3</xdr:col>
      <xdr:colOff>400050</xdr:colOff>
      <xdr:row>73</xdr:row>
      <xdr:rowOff>123825</xdr:rowOff>
    </xdr:to>
    <xdr:sp macro="" textlink="">
      <xdr:nvSpPr>
        <xdr:cNvPr id="2070496" name="Text Box 286"/>
        <xdr:cNvSpPr txBox="1">
          <a:spLocks noChangeArrowheads="1"/>
        </xdr:cNvSpPr>
      </xdr:nvSpPr>
      <xdr:spPr bwMode="auto">
        <a:xfrm>
          <a:off x="3076575" y="10782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72</xdr:row>
      <xdr:rowOff>95250</xdr:rowOff>
    </xdr:from>
    <xdr:to>
      <xdr:col>3</xdr:col>
      <xdr:colOff>400050</xdr:colOff>
      <xdr:row>73</xdr:row>
      <xdr:rowOff>123825</xdr:rowOff>
    </xdr:to>
    <xdr:sp macro="" textlink="">
      <xdr:nvSpPr>
        <xdr:cNvPr id="2070497" name="Text Box 297"/>
        <xdr:cNvSpPr txBox="1">
          <a:spLocks noChangeArrowheads="1"/>
        </xdr:cNvSpPr>
      </xdr:nvSpPr>
      <xdr:spPr bwMode="auto">
        <a:xfrm>
          <a:off x="3076575" y="10782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75</xdr:row>
      <xdr:rowOff>0</xdr:rowOff>
    </xdr:from>
    <xdr:to>
      <xdr:col>3</xdr:col>
      <xdr:colOff>400050</xdr:colOff>
      <xdr:row>77</xdr:row>
      <xdr:rowOff>28575</xdr:rowOff>
    </xdr:to>
    <xdr:sp macro="" textlink="">
      <xdr:nvSpPr>
        <xdr:cNvPr id="2070498" name="Text Box 314"/>
        <xdr:cNvSpPr txBox="1">
          <a:spLocks noChangeArrowheads="1"/>
        </xdr:cNvSpPr>
      </xdr:nvSpPr>
      <xdr:spPr bwMode="auto">
        <a:xfrm>
          <a:off x="3076575" y="110109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75</xdr:row>
      <xdr:rowOff>0</xdr:rowOff>
    </xdr:from>
    <xdr:to>
      <xdr:col>3</xdr:col>
      <xdr:colOff>400050</xdr:colOff>
      <xdr:row>77</xdr:row>
      <xdr:rowOff>28575</xdr:rowOff>
    </xdr:to>
    <xdr:sp macro="" textlink="">
      <xdr:nvSpPr>
        <xdr:cNvPr id="2070499" name="Text Box 315"/>
        <xdr:cNvSpPr txBox="1">
          <a:spLocks noChangeArrowheads="1"/>
        </xdr:cNvSpPr>
      </xdr:nvSpPr>
      <xdr:spPr bwMode="auto">
        <a:xfrm>
          <a:off x="3076575" y="110109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73</xdr:row>
      <xdr:rowOff>0</xdr:rowOff>
    </xdr:from>
    <xdr:to>
      <xdr:col>3</xdr:col>
      <xdr:colOff>400050</xdr:colOff>
      <xdr:row>75</xdr:row>
      <xdr:rowOff>28575</xdr:rowOff>
    </xdr:to>
    <xdr:sp macro="" textlink="">
      <xdr:nvSpPr>
        <xdr:cNvPr id="2070500" name="Text Box 316"/>
        <xdr:cNvSpPr txBox="1">
          <a:spLocks noChangeArrowheads="1"/>
        </xdr:cNvSpPr>
      </xdr:nvSpPr>
      <xdr:spPr bwMode="auto">
        <a:xfrm>
          <a:off x="3076575" y="108489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73</xdr:row>
      <xdr:rowOff>0</xdr:rowOff>
    </xdr:from>
    <xdr:to>
      <xdr:col>3</xdr:col>
      <xdr:colOff>400050</xdr:colOff>
      <xdr:row>75</xdr:row>
      <xdr:rowOff>28575</xdr:rowOff>
    </xdr:to>
    <xdr:sp macro="" textlink="">
      <xdr:nvSpPr>
        <xdr:cNvPr id="2070501" name="Text Box 317"/>
        <xdr:cNvSpPr txBox="1">
          <a:spLocks noChangeArrowheads="1"/>
        </xdr:cNvSpPr>
      </xdr:nvSpPr>
      <xdr:spPr bwMode="auto">
        <a:xfrm>
          <a:off x="3076575" y="108489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73</xdr:row>
      <xdr:rowOff>0</xdr:rowOff>
    </xdr:from>
    <xdr:to>
      <xdr:col>3</xdr:col>
      <xdr:colOff>400050</xdr:colOff>
      <xdr:row>75</xdr:row>
      <xdr:rowOff>28575</xdr:rowOff>
    </xdr:to>
    <xdr:sp macro="" textlink="">
      <xdr:nvSpPr>
        <xdr:cNvPr id="2070502" name="Text Box 319"/>
        <xdr:cNvSpPr txBox="1">
          <a:spLocks noChangeArrowheads="1"/>
        </xdr:cNvSpPr>
      </xdr:nvSpPr>
      <xdr:spPr bwMode="auto">
        <a:xfrm>
          <a:off x="3076575" y="108489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73</xdr:row>
      <xdr:rowOff>0</xdr:rowOff>
    </xdr:from>
    <xdr:to>
      <xdr:col>3</xdr:col>
      <xdr:colOff>400050</xdr:colOff>
      <xdr:row>75</xdr:row>
      <xdr:rowOff>28575</xdr:rowOff>
    </xdr:to>
    <xdr:sp macro="" textlink="">
      <xdr:nvSpPr>
        <xdr:cNvPr id="2070503" name="Text Box 320"/>
        <xdr:cNvSpPr txBox="1">
          <a:spLocks noChangeArrowheads="1"/>
        </xdr:cNvSpPr>
      </xdr:nvSpPr>
      <xdr:spPr bwMode="auto">
        <a:xfrm>
          <a:off x="3076575" y="108489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73</xdr:row>
      <xdr:rowOff>0</xdr:rowOff>
    </xdr:from>
    <xdr:to>
      <xdr:col>3</xdr:col>
      <xdr:colOff>400050</xdr:colOff>
      <xdr:row>75</xdr:row>
      <xdr:rowOff>28575</xdr:rowOff>
    </xdr:to>
    <xdr:sp macro="" textlink="">
      <xdr:nvSpPr>
        <xdr:cNvPr id="2070504" name="Text Box 321"/>
        <xdr:cNvSpPr txBox="1">
          <a:spLocks noChangeArrowheads="1"/>
        </xdr:cNvSpPr>
      </xdr:nvSpPr>
      <xdr:spPr bwMode="auto">
        <a:xfrm>
          <a:off x="3076575" y="108489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143</xdr:row>
      <xdr:rowOff>9525</xdr:rowOff>
    </xdr:from>
    <xdr:to>
      <xdr:col>3</xdr:col>
      <xdr:colOff>400050</xdr:colOff>
      <xdr:row>147</xdr:row>
      <xdr:rowOff>28575</xdr:rowOff>
    </xdr:to>
    <xdr:sp macro="" textlink="">
      <xdr:nvSpPr>
        <xdr:cNvPr id="2070505" name="Text Box 334"/>
        <xdr:cNvSpPr txBox="1">
          <a:spLocks noChangeArrowheads="1"/>
        </xdr:cNvSpPr>
      </xdr:nvSpPr>
      <xdr:spPr bwMode="auto">
        <a:xfrm>
          <a:off x="3076575" y="21221700"/>
          <a:ext cx="1047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143</xdr:row>
      <xdr:rowOff>9525</xdr:rowOff>
    </xdr:from>
    <xdr:to>
      <xdr:col>3</xdr:col>
      <xdr:colOff>400050</xdr:colOff>
      <xdr:row>147</xdr:row>
      <xdr:rowOff>28575</xdr:rowOff>
    </xdr:to>
    <xdr:sp macro="" textlink="">
      <xdr:nvSpPr>
        <xdr:cNvPr id="2070506" name="Text Box 339"/>
        <xdr:cNvSpPr txBox="1">
          <a:spLocks noChangeArrowheads="1"/>
        </xdr:cNvSpPr>
      </xdr:nvSpPr>
      <xdr:spPr bwMode="auto">
        <a:xfrm>
          <a:off x="3076575" y="21221700"/>
          <a:ext cx="1047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147</xdr:row>
      <xdr:rowOff>9525</xdr:rowOff>
    </xdr:from>
    <xdr:to>
      <xdr:col>3</xdr:col>
      <xdr:colOff>400050</xdr:colOff>
      <xdr:row>148</xdr:row>
      <xdr:rowOff>38100</xdr:rowOff>
    </xdr:to>
    <xdr:sp macro="" textlink="">
      <xdr:nvSpPr>
        <xdr:cNvPr id="2070507" name="Text Box 340"/>
        <xdr:cNvSpPr txBox="1">
          <a:spLocks noChangeArrowheads="1"/>
        </xdr:cNvSpPr>
      </xdr:nvSpPr>
      <xdr:spPr bwMode="auto">
        <a:xfrm>
          <a:off x="3076575" y="218694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400050</xdr:colOff>
      <xdr:row>35</xdr:row>
      <xdr:rowOff>28575</xdr:rowOff>
    </xdr:to>
    <xdr:sp macro="" textlink="">
      <xdr:nvSpPr>
        <xdr:cNvPr id="2070508" name="Text Box 453"/>
        <xdr:cNvSpPr txBox="1">
          <a:spLocks noChangeArrowheads="1"/>
        </xdr:cNvSpPr>
      </xdr:nvSpPr>
      <xdr:spPr bwMode="auto">
        <a:xfrm>
          <a:off x="3076575" y="48577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34</xdr:row>
      <xdr:rowOff>85725</xdr:rowOff>
    </xdr:from>
    <xdr:to>
      <xdr:col>3</xdr:col>
      <xdr:colOff>400050</xdr:colOff>
      <xdr:row>35</xdr:row>
      <xdr:rowOff>114300</xdr:rowOff>
    </xdr:to>
    <xdr:sp macro="" textlink="">
      <xdr:nvSpPr>
        <xdr:cNvPr id="2070509" name="Text Box 454"/>
        <xdr:cNvSpPr txBox="1">
          <a:spLocks noChangeArrowheads="1"/>
        </xdr:cNvSpPr>
      </xdr:nvSpPr>
      <xdr:spPr bwMode="auto">
        <a:xfrm>
          <a:off x="3076575" y="49434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400050</xdr:colOff>
      <xdr:row>35</xdr:row>
      <xdr:rowOff>28575</xdr:rowOff>
    </xdr:to>
    <xdr:sp macro="" textlink="">
      <xdr:nvSpPr>
        <xdr:cNvPr id="2070510" name="Text Box 455"/>
        <xdr:cNvSpPr txBox="1">
          <a:spLocks noChangeArrowheads="1"/>
        </xdr:cNvSpPr>
      </xdr:nvSpPr>
      <xdr:spPr bwMode="auto">
        <a:xfrm>
          <a:off x="3076575" y="48577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34</xdr:row>
      <xdr:rowOff>85725</xdr:rowOff>
    </xdr:from>
    <xdr:to>
      <xdr:col>3</xdr:col>
      <xdr:colOff>400050</xdr:colOff>
      <xdr:row>35</xdr:row>
      <xdr:rowOff>114300</xdr:rowOff>
    </xdr:to>
    <xdr:sp macro="" textlink="">
      <xdr:nvSpPr>
        <xdr:cNvPr id="2070511" name="Text Box 456"/>
        <xdr:cNvSpPr txBox="1">
          <a:spLocks noChangeArrowheads="1"/>
        </xdr:cNvSpPr>
      </xdr:nvSpPr>
      <xdr:spPr bwMode="auto">
        <a:xfrm>
          <a:off x="3076575" y="49434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400050</xdr:colOff>
      <xdr:row>35</xdr:row>
      <xdr:rowOff>28575</xdr:rowOff>
    </xdr:to>
    <xdr:sp macro="" textlink="">
      <xdr:nvSpPr>
        <xdr:cNvPr id="2070512" name="Text Box 457"/>
        <xdr:cNvSpPr txBox="1">
          <a:spLocks noChangeArrowheads="1"/>
        </xdr:cNvSpPr>
      </xdr:nvSpPr>
      <xdr:spPr bwMode="auto">
        <a:xfrm>
          <a:off x="3076575" y="48577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34</xdr:row>
      <xdr:rowOff>85725</xdr:rowOff>
    </xdr:from>
    <xdr:to>
      <xdr:col>3</xdr:col>
      <xdr:colOff>400050</xdr:colOff>
      <xdr:row>35</xdr:row>
      <xdr:rowOff>114300</xdr:rowOff>
    </xdr:to>
    <xdr:sp macro="" textlink="">
      <xdr:nvSpPr>
        <xdr:cNvPr id="2070513" name="Text Box 458"/>
        <xdr:cNvSpPr txBox="1">
          <a:spLocks noChangeArrowheads="1"/>
        </xdr:cNvSpPr>
      </xdr:nvSpPr>
      <xdr:spPr bwMode="auto">
        <a:xfrm>
          <a:off x="3076575" y="49434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400050</xdr:colOff>
      <xdr:row>35</xdr:row>
      <xdr:rowOff>28575</xdr:rowOff>
    </xdr:to>
    <xdr:sp macro="" textlink="">
      <xdr:nvSpPr>
        <xdr:cNvPr id="2070514" name="Text Box 459"/>
        <xdr:cNvSpPr txBox="1">
          <a:spLocks noChangeArrowheads="1"/>
        </xdr:cNvSpPr>
      </xdr:nvSpPr>
      <xdr:spPr bwMode="auto">
        <a:xfrm>
          <a:off x="3076575" y="48577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34</xdr:row>
      <xdr:rowOff>85725</xdr:rowOff>
    </xdr:from>
    <xdr:to>
      <xdr:col>3</xdr:col>
      <xdr:colOff>400050</xdr:colOff>
      <xdr:row>35</xdr:row>
      <xdr:rowOff>114300</xdr:rowOff>
    </xdr:to>
    <xdr:sp macro="" textlink="">
      <xdr:nvSpPr>
        <xdr:cNvPr id="2070515" name="Text Box 460"/>
        <xdr:cNvSpPr txBox="1">
          <a:spLocks noChangeArrowheads="1"/>
        </xdr:cNvSpPr>
      </xdr:nvSpPr>
      <xdr:spPr bwMode="auto">
        <a:xfrm>
          <a:off x="3076575" y="49434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400050</xdr:colOff>
      <xdr:row>35</xdr:row>
      <xdr:rowOff>28575</xdr:rowOff>
    </xdr:to>
    <xdr:sp macro="" textlink="">
      <xdr:nvSpPr>
        <xdr:cNvPr id="2070516" name="Text Box 461"/>
        <xdr:cNvSpPr txBox="1">
          <a:spLocks noChangeArrowheads="1"/>
        </xdr:cNvSpPr>
      </xdr:nvSpPr>
      <xdr:spPr bwMode="auto">
        <a:xfrm>
          <a:off x="3076575" y="48577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400050</xdr:colOff>
      <xdr:row>35</xdr:row>
      <xdr:rowOff>28575</xdr:rowOff>
    </xdr:to>
    <xdr:sp macro="" textlink="">
      <xdr:nvSpPr>
        <xdr:cNvPr id="2070517" name="Text Box 528"/>
        <xdr:cNvSpPr txBox="1">
          <a:spLocks noChangeArrowheads="1"/>
        </xdr:cNvSpPr>
      </xdr:nvSpPr>
      <xdr:spPr bwMode="auto">
        <a:xfrm>
          <a:off x="3076575" y="48577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400050</xdr:colOff>
      <xdr:row>35</xdr:row>
      <xdr:rowOff>38100</xdr:rowOff>
    </xdr:to>
    <xdr:sp macro="" textlink="">
      <xdr:nvSpPr>
        <xdr:cNvPr id="2070518" name="Text Box 529"/>
        <xdr:cNvSpPr txBox="1">
          <a:spLocks noChangeArrowheads="1"/>
        </xdr:cNvSpPr>
      </xdr:nvSpPr>
      <xdr:spPr bwMode="auto">
        <a:xfrm>
          <a:off x="3076575" y="4857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400050</xdr:colOff>
      <xdr:row>35</xdr:row>
      <xdr:rowOff>28575</xdr:rowOff>
    </xdr:to>
    <xdr:sp macro="" textlink="">
      <xdr:nvSpPr>
        <xdr:cNvPr id="2070519" name="Text Box 532"/>
        <xdr:cNvSpPr txBox="1">
          <a:spLocks noChangeArrowheads="1"/>
        </xdr:cNvSpPr>
      </xdr:nvSpPr>
      <xdr:spPr bwMode="auto">
        <a:xfrm>
          <a:off x="3076575" y="48577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34</xdr:row>
      <xdr:rowOff>85725</xdr:rowOff>
    </xdr:from>
    <xdr:to>
      <xdr:col>3</xdr:col>
      <xdr:colOff>400050</xdr:colOff>
      <xdr:row>35</xdr:row>
      <xdr:rowOff>114300</xdr:rowOff>
    </xdr:to>
    <xdr:sp macro="" textlink="">
      <xdr:nvSpPr>
        <xdr:cNvPr id="2070520" name="Text Box 533"/>
        <xdr:cNvSpPr txBox="1">
          <a:spLocks noChangeArrowheads="1"/>
        </xdr:cNvSpPr>
      </xdr:nvSpPr>
      <xdr:spPr bwMode="auto">
        <a:xfrm>
          <a:off x="3076575" y="49434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400050</xdr:colOff>
      <xdr:row>35</xdr:row>
      <xdr:rowOff>28575</xdr:rowOff>
    </xdr:to>
    <xdr:sp macro="" textlink="">
      <xdr:nvSpPr>
        <xdr:cNvPr id="2070521" name="Text Box 534"/>
        <xdr:cNvSpPr txBox="1">
          <a:spLocks noChangeArrowheads="1"/>
        </xdr:cNvSpPr>
      </xdr:nvSpPr>
      <xdr:spPr bwMode="auto">
        <a:xfrm>
          <a:off x="3076575" y="48577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34</xdr:row>
      <xdr:rowOff>85725</xdr:rowOff>
    </xdr:from>
    <xdr:to>
      <xdr:col>3</xdr:col>
      <xdr:colOff>400050</xdr:colOff>
      <xdr:row>35</xdr:row>
      <xdr:rowOff>114300</xdr:rowOff>
    </xdr:to>
    <xdr:sp macro="" textlink="">
      <xdr:nvSpPr>
        <xdr:cNvPr id="2070522" name="Text Box 535"/>
        <xdr:cNvSpPr txBox="1">
          <a:spLocks noChangeArrowheads="1"/>
        </xdr:cNvSpPr>
      </xdr:nvSpPr>
      <xdr:spPr bwMode="auto">
        <a:xfrm>
          <a:off x="3076575" y="49434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72</xdr:row>
      <xdr:rowOff>95250</xdr:rowOff>
    </xdr:from>
    <xdr:to>
      <xdr:col>3</xdr:col>
      <xdr:colOff>400050</xdr:colOff>
      <xdr:row>73</xdr:row>
      <xdr:rowOff>123825</xdr:rowOff>
    </xdr:to>
    <xdr:sp macro="" textlink="">
      <xdr:nvSpPr>
        <xdr:cNvPr id="2070523" name="Text Box 536"/>
        <xdr:cNvSpPr txBox="1">
          <a:spLocks noChangeArrowheads="1"/>
        </xdr:cNvSpPr>
      </xdr:nvSpPr>
      <xdr:spPr bwMode="auto">
        <a:xfrm>
          <a:off x="3076575" y="10782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72</xdr:row>
      <xdr:rowOff>95250</xdr:rowOff>
    </xdr:from>
    <xdr:to>
      <xdr:col>3</xdr:col>
      <xdr:colOff>400050</xdr:colOff>
      <xdr:row>73</xdr:row>
      <xdr:rowOff>123825</xdr:rowOff>
    </xdr:to>
    <xdr:sp macro="" textlink="">
      <xdr:nvSpPr>
        <xdr:cNvPr id="2070524" name="Text Box 694"/>
        <xdr:cNvSpPr txBox="1">
          <a:spLocks noChangeArrowheads="1"/>
        </xdr:cNvSpPr>
      </xdr:nvSpPr>
      <xdr:spPr bwMode="auto">
        <a:xfrm>
          <a:off x="3076575" y="10782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73</xdr:row>
      <xdr:rowOff>0</xdr:rowOff>
    </xdr:from>
    <xdr:to>
      <xdr:col>3</xdr:col>
      <xdr:colOff>400050</xdr:colOff>
      <xdr:row>75</xdr:row>
      <xdr:rowOff>28575</xdr:rowOff>
    </xdr:to>
    <xdr:sp macro="" textlink="">
      <xdr:nvSpPr>
        <xdr:cNvPr id="2070525" name="Text Box 695"/>
        <xdr:cNvSpPr txBox="1">
          <a:spLocks noChangeArrowheads="1"/>
        </xdr:cNvSpPr>
      </xdr:nvSpPr>
      <xdr:spPr bwMode="auto">
        <a:xfrm>
          <a:off x="3076575" y="108489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73</xdr:row>
      <xdr:rowOff>0</xdr:rowOff>
    </xdr:from>
    <xdr:to>
      <xdr:col>3</xdr:col>
      <xdr:colOff>400050</xdr:colOff>
      <xdr:row>75</xdr:row>
      <xdr:rowOff>28575</xdr:rowOff>
    </xdr:to>
    <xdr:sp macro="" textlink="">
      <xdr:nvSpPr>
        <xdr:cNvPr id="2070526" name="Text Box 696"/>
        <xdr:cNvSpPr txBox="1">
          <a:spLocks noChangeArrowheads="1"/>
        </xdr:cNvSpPr>
      </xdr:nvSpPr>
      <xdr:spPr bwMode="auto">
        <a:xfrm>
          <a:off x="3076575" y="108489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400050</xdr:colOff>
      <xdr:row>35</xdr:row>
      <xdr:rowOff>28575</xdr:rowOff>
    </xdr:to>
    <xdr:sp macro="" textlink="">
      <xdr:nvSpPr>
        <xdr:cNvPr id="2070527" name="Text Box 931"/>
        <xdr:cNvSpPr txBox="1">
          <a:spLocks noChangeArrowheads="1"/>
        </xdr:cNvSpPr>
      </xdr:nvSpPr>
      <xdr:spPr bwMode="auto">
        <a:xfrm>
          <a:off x="3076575" y="48577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400050</xdr:colOff>
      <xdr:row>35</xdr:row>
      <xdr:rowOff>38100</xdr:rowOff>
    </xdr:to>
    <xdr:sp macro="" textlink="">
      <xdr:nvSpPr>
        <xdr:cNvPr id="2070528" name="Text Box 932"/>
        <xdr:cNvSpPr txBox="1">
          <a:spLocks noChangeArrowheads="1"/>
        </xdr:cNvSpPr>
      </xdr:nvSpPr>
      <xdr:spPr bwMode="auto">
        <a:xfrm>
          <a:off x="3076575" y="4857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400050</xdr:colOff>
      <xdr:row>35</xdr:row>
      <xdr:rowOff>28575</xdr:rowOff>
    </xdr:to>
    <xdr:sp macro="" textlink="">
      <xdr:nvSpPr>
        <xdr:cNvPr id="2070529" name="Text Box 933"/>
        <xdr:cNvSpPr txBox="1">
          <a:spLocks noChangeArrowheads="1"/>
        </xdr:cNvSpPr>
      </xdr:nvSpPr>
      <xdr:spPr bwMode="auto">
        <a:xfrm>
          <a:off x="3076575" y="48577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400050</xdr:colOff>
      <xdr:row>35</xdr:row>
      <xdr:rowOff>38100</xdr:rowOff>
    </xdr:to>
    <xdr:sp macro="" textlink="">
      <xdr:nvSpPr>
        <xdr:cNvPr id="2070530" name="Text Box 934"/>
        <xdr:cNvSpPr txBox="1">
          <a:spLocks noChangeArrowheads="1"/>
        </xdr:cNvSpPr>
      </xdr:nvSpPr>
      <xdr:spPr bwMode="auto">
        <a:xfrm>
          <a:off x="3076575" y="4857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400050</xdr:colOff>
      <xdr:row>35</xdr:row>
      <xdr:rowOff>28575</xdr:rowOff>
    </xdr:to>
    <xdr:sp macro="" textlink="">
      <xdr:nvSpPr>
        <xdr:cNvPr id="2070531" name="Text Box 935"/>
        <xdr:cNvSpPr txBox="1">
          <a:spLocks noChangeArrowheads="1"/>
        </xdr:cNvSpPr>
      </xdr:nvSpPr>
      <xdr:spPr bwMode="auto">
        <a:xfrm>
          <a:off x="3076575" y="48577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400050</xdr:colOff>
      <xdr:row>35</xdr:row>
      <xdr:rowOff>38100</xdr:rowOff>
    </xdr:to>
    <xdr:sp macro="" textlink="">
      <xdr:nvSpPr>
        <xdr:cNvPr id="2070532" name="Text Box 936"/>
        <xdr:cNvSpPr txBox="1">
          <a:spLocks noChangeArrowheads="1"/>
        </xdr:cNvSpPr>
      </xdr:nvSpPr>
      <xdr:spPr bwMode="auto">
        <a:xfrm>
          <a:off x="3076575" y="4857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400050</xdr:colOff>
      <xdr:row>35</xdr:row>
      <xdr:rowOff>28575</xdr:rowOff>
    </xdr:to>
    <xdr:sp macro="" textlink="">
      <xdr:nvSpPr>
        <xdr:cNvPr id="2070533" name="Text Box 937"/>
        <xdr:cNvSpPr txBox="1">
          <a:spLocks noChangeArrowheads="1"/>
        </xdr:cNvSpPr>
      </xdr:nvSpPr>
      <xdr:spPr bwMode="auto">
        <a:xfrm>
          <a:off x="3076575" y="48577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400050</xdr:colOff>
      <xdr:row>35</xdr:row>
      <xdr:rowOff>38100</xdr:rowOff>
    </xdr:to>
    <xdr:sp macro="" textlink="">
      <xdr:nvSpPr>
        <xdr:cNvPr id="2070534" name="Text Box 938"/>
        <xdr:cNvSpPr txBox="1">
          <a:spLocks noChangeArrowheads="1"/>
        </xdr:cNvSpPr>
      </xdr:nvSpPr>
      <xdr:spPr bwMode="auto">
        <a:xfrm>
          <a:off x="3076575" y="4857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35</xdr:row>
      <xdr:rowOff>0</xdr:rowOff>
    </xdr:from>
    <xdr:to>
      <xdr:col>3</xdr:col>
      <xdr:colOff>400050</xdr:colOff>
      <xdr:row>35</xdr:row>
      <xdr:rowOff>161925</xdr:rowOff>
    </xdr:to>
    <xdr:sp macro="" textlink="">
      <xdr:nvSpPr>
        <xdr:cNvPr id="2070535" name="Text Box 941"/>
        <xdr:cNvSpPr txBox="1">
          <a:spLocks noChangeArrowheads="1"/>
        </xdr:cNvSpPr>
      </xdr:nvSpPr>
      <xdr:spPr bwMode="auto">
        <a:xfrm>
          <a:off x="3076575" y="50196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35</xdr:row>
      <xdr:rowOff>85725</xdr:rowOff>
    </xdr:from>
    <xdr:to>
      <xdr:col>3</xdr:col>
      <xdr:colOff>400050</xdr:colOff>
      <xdr:row>35</xdr:row>
      <xdr:rowOff>161925</xdr:rowOff>
    </xdr:to>
    <xdr:sp macro="" textlink="">
      <xdr:nvSpPr>
        <xdr:cNvPr id="2070536" name="Text Box 942"/>
        <xdr:cNvSpPr txBox="1">
          <a:spLocks noChangeArrowheads="1"/>
        </xdr:cNvSpPr>
      </xdr:nvSpPr>
      <xdr:spPr bwMode="auto">
        <a:xfrm>
          <a:off x="3076575" y="510540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35</xdr:row>
      <xdr:rowOff>0</xdr:rowOff>
    </xdr:from>
    <xdr:to>
      <xdr:col>3</xdr:col>
      <xdr:colOff>400050</xdr:colOff>
      <xdr:row>35</xdr:row>
      <xdr:rowOff>161925</xdr:rowOff>
    </xdr:to>
    <xdr:sp macro="" textlink="">
      <xdr:nvSpPr>
        <xdr:cNvPr id="2070537" name="Text Box 943"/>
        <xdr:cNvSpPr txBox="1">
          <a:spLocks noChangeArrowheads="1"/>
        </xdr:cNvSpPr>
      </xdr:nvSpPr>
      <xdr:spPr bwMode="auto">
        <a:xfrm>
          <a:off x="3076575" y="50196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35</xdr:row>
      <xdr:rowOff>85725</xdr:rowOff>
    </xdr:from>
    <xdr:to>
      <xdr:col>3</xdr:col>
      <xdr:colOff>400050</xdr:colOff>
      <xdr:row>35</xdr:row>
      <xdr:rowOff>161925</xdr:rowOff>
    </xdr:to>
    <xdr:sp macro="" textlink="">
      <xdr:nvSpPr>
        <xdr:cNvPr id="2070538" name="Text Box 944"/>
        <xdr:cNvSpPr txBox="1">
          <a:spLocks noChangeArrowheads="1"/>
        </xdr:cNvSpPr>
      </xdr:nvSpPr>
      <xdr:spPr bwMode="auto">
        <a:xfrm>
          <a:off x="3076575" y="510540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35</xdr:row>
      <xdr:rowOff>0</xdr:rowOff>
    </xdr:from>
    <xdr:to>
      <xdr:col>3</xdr:col>
      <xdr:colOff>400050</xdr:colOff>
      <xdr:row>35</xdr:row>
      <xdr:rowOff>161925</xdr:rowOff>
    </xdr:to>
    <xdr:sp macro="" textlink="">
      <xdr:nvSpPr>
        <xdr:cNvPr id="2070539" name="Text Box 945"/>
        <xdr:cNvSpPr txBox="1">
          <a:spLocks noChangeArrowheads="1"/>
        </xdr:cNvSpPr>
      </xdr:nvSpPr>
      <xdr:spPr bwMode="auto">
        <a:xfrm>
          <a:off x="3076575" y="50196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35</xdr:row>
      <xdr:rowOff>85725</xdr:rowOff>
    </xdr:from>
    <xdr:to>
      <xdr:col>3</xdr:col>
      <xdr:colOff>400050</xdr:colOff>
      <xdr:row>35</xdr:row>
      <xdr:rowOff>161925</xdr:rowOff>
    </xdr:to>
    <xdr:sp macro="" textlink="">
      <xdr:nvSpPr>
        <xdr:cNvPr id="2070540" name="Text Box 946"/>
        <xdr:cNvSpPr txBox="1">
          <a:spLocks noChangeArrowheads="1"/>
        </xdr:cNvSpPr>
      </xdr:nvSpPr>
      <xdr:spPr bwMode="auto">
        <a:xfrm>
          <a:off x="3076575" y="510540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35</xdr:row>
      <xdr:rowOff>0</xdr:rowOff>
    </xdr:from>
    <xdr:to>
      <xdr:col>3</xdr:col>
      <xdr:colOff>400050</xdr:colOff>
      <xdr:row>35</xdr:row>
      <xdr:rowOff>161925</xdr:rowOff>
    </xdr:to>
    <xdr:sp macro="" textlink="">
      <xdr:nvSpPr>
        <xdr:cNvPr id="2070541" name="Text Box 947"/>
        <xdr:cNvSpPr txBox="1">
          <a:spLocks noChangeArrowheads="1"/>
        </xdr:cNvSpPr>
      </xdr:nvSpPr>
      <xdr:spPr bwMode="auto">
        <a:xfrm>
          <a:off x="3076575" y="50196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35</xdr:row>
      <xdr:rowOff>85725</xdr:rowOff>
    </xdr:from>
    <xdr:to>
      <xdr:col>3</xdr:col>
      <xdr:colOff>400050</xdr:colOff>
      <xdr:row>35</xdr:row>
      <xdr:rowOff>161925</xdr:rowOff>
    </xdr:to>
    <xdr:sp macro="" textlink="">
      <xdr:nvSpPr>
        <xdr:cNvPr id="2070542" name="Text Box 948"/>
        <xdr:cNvSpPr txBox="1">
          <a:spLocks noChangeArrowheads="1"/>
        </xdr:cNvSpPr>
      </xdr:nvSpPr>
      <xdr:spPr bwMode="auto">
        <a:xfrm>
          <a:off x="3076575" y="510540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400050</xdr:colOff>
      <xdr:row>35</xdr:row>
      <xdr:rowOff>28575</xdr:rowOff>
    </xdr:to>
    <xdr:sp macro="" textlink="">
      <xdr:nvSpPr>
        <xdr:cNvPr id="2070543" name="Text Box 949"/>
        <xdr:cNvSpPr txBox="1">
          <a:spLocks noChangeArrowheads="1"/>
        </xdr:cNvSpPr>
      </xdr:nvSpPr>
      <xdr:spPr bwMode="auto">
        <a:xfrm>
          <a:off x="3076575" y="48577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400050</xdr:colOff>
      <xdr:row>35</xdr:row>
      <xdr:rowOff>38100</xdr:rowOff>
    </xdr:to>
    <xdr:sp macro="" textlink="">
      <xdr:nvSpPr>
        <xdr:cNvPr id="2070544" name="Text Box 950"/>
        <xdr:cNvSpPr txBox="1">
          <a:spLocks noChangeArrowheads="1"/>
        </xdr:cNvSpPr>
      </xdr:nvSpPr>
      <xdr:spPr bwMode="auto">
        <a:xfrm>
          <a:off x="3076575" y="4857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400050</xdr:colOff>
      <xdr:row>35</xdr:row>
      <xdr:rowOff>28575</xdr:rowOff>
    </xdr:to>
    <xdr:sp macro="" textlink="">
      <xdr:nvSpPr>
        <xdr:cNvPr id="2070545" name="Text Box 953"/>
        <xdr:cNvSpPr txBox="1">
          <a:spLocks noChangeArrowheads="1"/>
        </xdr:cNvSpPr>
      </xdr:nvSpPr>
      <xdr:spPr bwMode="auto">
        <a:xfrm>
          <a:off x="3076575" y="48577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34</xdr:row>
      <xdr:rowOff>85725</xdr:rowOff>
    </xdr:from>
    <xdr:to>
      <xdr:col>3</xdr:col>
      <xdr:colOff>400050</xdr:colOff>
      <xdr:row>35</xdr:row>
      <xdr:rowOff>114300</xdr:rowOff>
    </xdr:to>
    <xdr:sp macro="" textlink="">
      <xdr:nvSpPr>
        <xdr:cNvPr id="2070546" name="Text Box 954"/>
        <xdr:cNvSpPr txBox="1">
          <a:spLocks noChangeArrowheads="1"/>
        </xdr:cNvSpPr>
      </xdr:nvSpPr>
      <xdr:spPr bwMode="auto">
        <a:xfrm>
          <a:off x="3076575" y="49434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400050</xdr:colOff>
      <xdr:row>35</xdr:row>
      <xdr:rowOff>28575</xdr:rowOff>
    </xdr:to>
    <xdr:sp macro="" textlink="">
      <xdr:nvSpPr>
        <xdr:cNvPr id="2070547" name="Text Box 955"/>
        <xdr:cNvSpPr txBox="1">
          <a:spLocks noChangeArrowheads="1"/>
        </xdr:cNvSpPr>
      </xdr:nvSpPr>
      <xdr:spPr bwMode="auto">
        <a:xfrm>
          <a:off x="3076575" y="48577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34</xdr:row>
      <xdr:rowOff>85725</xdr:rowOff>
    </xdr:from>
    <xdr:to>
      <xdr:col>3</xdr:col>
      <xdr:colOff>400050</xdr:colOff>
      <xdr:row>35</xdr:row>
      <xdr:rowOff>114300</xdr:rowOff>
    </xdr:to>
    <xdr:sp macro="" textlink="">
      <xdr:nvSpPr>
        <xdr:cNvPr id="2070548" name="Text Box 956"/>
        <xdr:cNvSpPr txBox="1">
          <a:spLocks noChangeArrowheads="1"/>
        </xdr:cNvSpPr>
      </xdr:nvSpPr>
      <xdr:spPr bwMode="auto">
        <a:xfrm>
          <a:off x="3076575" y="49434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400050</xdr:colOff>
      <xdr:row>35</xdr:row>
      <xdr:rowOff>28575</xdr:rowOff>
    </xdr:to>
    <xdr:sp macro="" textlink="">
      <xdr:nvSpPr>
        <xdr:cNvPr id="2070549" name="Text Box 957"/>
        <xdr:cNvSpPr txBox="1">
          <a:spLocks noChangeArrowheads="1"/>
        </xdr:cNvSpPr>
      </xdr:nvSpPr>
      <xdr:spPr bwMode="auto">
        <a:xfrm>
          <a:off x="3076575" y="48577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34</xdr:row>
      <xdr:rowOff>85725</xdr:rowOff>
    </xdr:from>
    <xdr:to>
      <xdr:col>3</xdr:col>
      <xdr:colOff>400050</xdr:colOff>
      <xdr:row>35</xdr:row>
      <xdr:rowOff>114300</xdr:rowOff>
    </xdr:to>
    <xdr:sp macro="" textlink="">
      <xdr:nvSpPr>
        <xdr:cNvPr id="2070550" name="Text Box 958"/>
        <xdr:cNvSpPr txBox="1">
          <a:spLocks noChangeArrowheads="1"/>
        </xdr:cNvSpPr>
      </xdr:nvSpPr>
      <xdr:spPr bwMode="auto">
        <a:xfrm>
          <a:off x="3076575" y="49434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400050</xdr:colOff>
      <xdr:row>35</xdr:row>
      <xdr:rowOff>28575</xdr:rowOff>
    </xdr:to>
    <xdr:sp macro="" textlink="">
      <xdr:nvSpPr>
        <xdr:cNvPr id="2070551" name="Text Box 959"/>
        <xdr:cNvSpPr txBox="1">
          <a:spLocks noChangeArrowheads="1"/>
        </xdr:cNvSpPr>
      </xdr:nvSpPr>
      <xdr:spPr bwMode="auto">
        <a:xfrm>
          <a:off x="3076575" y="48577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34</xdr:row>
      <xdr:rowOff>85725</xdr:rowOff>
    </xdr:from>
    <xdr:to>
      <xdr:col>3</xdr:col>
      <xdr:colOff>400050</xdr:colOff>
      <xdr:row>35</xdr:row>
      <xdr:rowOff>114300</xdr:rowOff>
    </xdr:to>
    <xdr:sp macro="" textlink="">
      <xdr:nvSpPr>
        <xdr:cNvPr id="2070552" name="Text Box 960"/>
        <xdr:cNvSpPr txBox="1">
          <a:spLocks noChangeArrowheads="1"/>
        </xdr:cNvSpPr>
      </xdr:nvSpPr>
      <xdr:spPr bwMode="auto">
        <a:xfrm>
          <a:off x="3076575" y="49434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400050</xdr:colOff>
      <xdr:row>35</xdr:row>
      <xdr:rowOff>28575</xdr:rowOff>
    </xdr:to>
    <xdr:sp macro="" textlink="">
      <xdr:nvSpPr>
        <xdr:cNvPr id="2070553" name="Text Box 961"/>
        <xdr:cNvSpPr txBox="1">
          <a:spLocks noChangeArrowheads="1"/>
        </xdr:cNvSpPr>
      </xdr:nvSpPr>
      <xdr:spPr bwMode="auto">
        <a:xfrm>
          <a:off x="3076575" y="48577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400050</xdr:colOff>
      <xdr:row>35</xdr:row>
      <xdr:rowOff>28575</xdr:rowOff>
    </xdr:to>
    <xdr:sp macro="" textlink="">
      <xdr:nvSpPr>
        <xdr:cNvPr id="2070554" name="Text Box 963"/>
        <xdr:cNvSpPr txBox="1">
          <a:spLocks noChangeArrowheads="1"/>
        </xdr:cNvSpPr>
      </xdr:nvSpPr>
      <xdr:spPr bwMode="auto">
        <a:xfrm>
          <a:off x="3076575" y="48577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400050</xdr:colOff>
      <xdr:row>35</xdr:row>
      <xdr:rowOff>38100</xdr:rowOff>
    </xdr:to>
    <xdr:sp macro="" textlink="">
      <xdr:nvSpPr>
        <xdr:cNvPr id="2070555" name="Text Box 964"/>
        <xdr:cNvSpPr txBox="1">
          <a:spLocks noChangeArrowheads="1"/>
        </xdr:cNvSpPr>
      </xdr:nvSpPr>
      <xdr:spPr bwMode="auto">
        <a:xfrm>
          <a:off x="3076575" y="4857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400050</xdr:colOff>
      <xdr:row>35</xdr:row>
      <xdr:rowOff>28575</xdr:rowOff>
    </xdr:to>
    <xdr:sp macro="" textlink="">
      <xdr:nvSpPr>
        <xdr:cNvPr id="2070556" name="Text Box 967"/>
        <xdr:cNvSpPr txBox="1">
          <a:spLocks noChangeArrowheads="1"/>
        </xdr:cNvSpPr>
      </xdr:nvSpPr>
      <xdr:spPr bwMode="auto">
        <a:xfrm>
          <a:off x="3076575" y="48577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34</xdr:row>
      <xdr:rowOff>85725</xdr:rowOff>
    </xdr:from>
    <xdr:to>
      <xdr:col>3</xdr:col>
      <xdr:colOff>400050</xdr:colOff>
      <xdr:row>35</xdr:row>
      <xdr:rowOff>114300</xdr:rowOff>
    </xdr:to>
    <xdr:sp macro="" textlink="">
      <xdr:nvSpPr>
        <xdr:cNvPr id="2070557" name="Text Box 968"/>
        <xdr:cNvSpPr txBox="1">
          <a:spLocks noChangeArrowheads="1"/>
        </xdr:cNvSpPr>
      </xdr:nvSpPr>
      <xdr:spPr bwMode="auto">
        <a:xfrm>
          <a:off x="3076575" y="49434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400050</xdr:colOff>
      <xdr:row>35</xdr:row>
      <xdr:rowOff>28575</xdr:rowOff>
    </xdr:to>
    <xdr:sp macro="" textlink="">
      <xdr:nvSpPr>
        <xdr:cNvPr id="2070558" name="Text Box 969"/>
        <xdr:cNvSpPr txBox="1">
          <a:spLocks noChangeArrowheads="1"/>
        </xdr:cNvSpPr>
      </xdr:nvSpPr>
      <xdr:spPr bwMode="auto">
        <a:xfrm>
          <a:off x="3076575" y="48577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34</xdr:row>
      <xdr:rowOff>85725</xdr:rowOff>
    </xdr:from>
    <xdr:to>
      <xdr:col>3</xdr:col>
      <xdr:colOff>400050</xdr:colOff>
      <xdr:row>35</xdr:row>
      <xdr:rowOff>114300</xdr:rowOff>
    </xdr:to>
    <xdr:sp macro="" textlink="">
      <xdr:nvSpPr>
        <xdr:cNvPr id="2070559" name="Text Box 970"/>
        <xdr:cNvSpPr txBox="1">
          <a:spLocks noChangeArrowheads="1"/>
        </xdr:cNvSpPr>
      </xdr:nvSpPr>
      <xdr:spPr bwMode="auto">
        <a:xfrm>
          <a:off x="3076575" y="49434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38</xdr:row>
      <xdr:rowOff>0</xdr:rowOff>
    </xdr:from>
    <xdr:to>
      <xdr:col>3</xdr:col>
      <xdr:colOff>400050</xdr:colOff>
      <xdr:row>39</xdr:row>
      <xdr:rowOff>28575</xdr:rowOff>
    </xdr:to>
    <xdr:sp macro="" textlink="">
      <xdr:nvSpPr>
        <xdr:cNvPr id="2070560" name="Text Box 971"/>
        <xdr:cNvSpPr txBox="1">
          <a:spLocks noChangeArrowheads="1"/>
        </xdr:cNvSpPr>
      </xdr:nvSpPr>
      <xdr:spPr bwMode="auto">
        <a:xfrm>
          <a:off x="3076575" y="55054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38</xdr:row>
      <xdr:rowOff>0</xdr:rowOff>
    </xdr:from>
    <xdr:to>
      <xdr:col>3</xdr:col>
      <xdr:colOff>400050</xdr:colOff>
      <xdr:row>39</xdr:row>
      <xdr:rowOff>28575</xdr:rowOff>
    </xdr:to>
    <xdr:sp macro="" textlink="">
      <xdr:nvSpPr>
        <xdr:cNvPr id="2070561" name="Text Box 972"/>
        <xdr:cNvSpPr txBox="1">
          <a:spLocks noChangeArrowheads="1"/>
        </xdr:cNvSpPr>
      </xdr:nvSpPr>
      <xdr:spPr bwMode="auto">
        <a:xfrm>
          <a:off x="3076575" y="55054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38</xdr:row>
      <xdr:rowOff>0</xdr:rowOff>
    </xdr:from>
    <xdr:to>
      <xdr:col>3</xdr:col>
      <xdr:colOff>400050</xdr:colOff>
      <xdr:row>39</xdr:row>
      <xdr:rowOff>28575</xdr:rowOff>
    </xdr:to>
    <xdr:sp macro="" textlink="">
      <xdr:nvSpPr>
        <xdr:cNvPr id="2070562" name="Text Box 973"/>
        <xdr:cNvSpPr txBox="1">
          <a:spLocks noChangeArrowheads="1"/>
        </xdr:cNvSpPr>
      </xdr:nvSpPr>
      <xdr:spPr bwMode="auto">
        <a:xfrm>
          <a:off x="3076575" y="55054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38</xdr:row>
      <xdr:rowOff>0</xdr:rowOff>
    </xdr:from>
    <xdr:to>
      <xdr:col>3</xdr:col>
      <xdr:colOff>400050</xdr:colOff>
      <xdr:row>39</xdr:row>
      <xdr:rowOff>28575</xdr:rowOff>
    </xdr:to>
    <xdr:sp macro="" textlink="">
      <xdr:nvSpPr>
        <xdr:cNvPr id="2070563" name="Text Box 974"/>
        <xdr:cNvSpPr txBox="1">
          <a:spLocks noChangeArrowheads="1"/>
        </xdr:cNvSpPr>
      </xdr:nvSpPr>
      <xdr:spPr bwMode="auto">
        <a:xfrm>
          <a:off x="3076575" y="55054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73</xdr:row>
      <xdr:rowOff>0</xdr:rowOff>
    </xdr:from>
    <xdr:to>
      <xdr:col>3</xdr:col>
      <xdr:colOff>400050</xdr:colOff>
      <xdr:row>75</xdr:row>
      <xdr:rowOff>28575</xdr:rowOff>
    </xdr:to>
    <xdr:sp macro="" textlink="">
      <xdr:nvSpPr>
        <xdr:cNvPr id="2070564" name="Text Box 997"/>
        <xdr:cNvSpPr txBox="1">
          <a:spLocks noChangeArrowheads="1"/>
        </xdr:cNvSpPr>
      </xdr:nvSpPr>
      <xdr:spPr bwMode="auto">
        <a:xfrm>
          <a:off x="3076575" y="108489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73</xdr:row>
      <xdr:rowOff>0</xdr:rowOff>
    </xdr:from>
    <xdr:to>
      <xdr:col>3</xdr:col>
      <xdr:colOff>400050</xdr:colOff>
      <xdr:row>75</xdr:row>
      <xdr:rowOff>28575</xdr:rowOff>
    </xdr:to>
    <xdr:sp macro="" textlink="">
      <xdr:nvSpPr>
        <xdr:cNvPr id="2070565" name="Text Box 998"/>
        <xdr:cNvSpPr txBox="1">
          <a:spLocks noChangeArrowheads="1"/>
        </xdr:cNvSpPr>
      </xdr:nvSpPr>
      <xdr:spPr bwMode="auto">
        <a:xfrm>
          <a:off x="3076575" y="108489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73</xdr:row>
      <xdr:rowOff>0</xdr:rowOff>
    </xdr:from>
    <xdr:to>
      <xdr:col>3</xdr:col>
      <xdr:colOff>400050</xdr:colOff>
      <xdr:row>75</xdr:row>
      <xdr:rowOff>28575</xdr:rowOff>
    </xdr:to>
    <xdr:sp macro="" textlink="">
      <xdr:nvSpPr>
        <xdr:cNvPr id="2070566" name="Text Box 1000"/>
        <xdr:cNvSpPr txBox="1">
          <a:spLocks noChangeArrowheads="1"/>
        </xdr:cNvSpPr>
      </xdr:nvSpPr>
      <xdr:spPr bwMode="auto">
        <a:xfrm>
          <a:off x="3076575" y="108489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73</xdr:row>
      <xdr:rowOff>0</xdr:rowOff>
    </xdr:from>
    <xdr:to>
      <xdr:col>3</xdr:col>
      <xdr:colOff>400050</xdr:colOff>
      <xdr:row>75</xdr:row>
      <xdr:rowOff>28575</xdr:rowOff>
    </xdr:to>
    <xdr:sp macro="" textlink="">
      <xdr:nvSpPr>
        <xdr:cNvPr id="2070567" name="Text Box 1001"/>
        <xdr:cNvSpPr txBox="1">
          <a:spLocks noChangeArrowheads="1"/>
        </xdr:cNvSpPr>
      </xdr:nvSpPr>
      <xdr:spPr bwMode="auto">
        <a:xfrm>
          <a:off x="3076575" y="108489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73</xdr:row>
      <xdr:rowOff>0</xdr:rowOff>
    </xdr:from>
    <xdr:to>
      <xdr:col>3</xdr:col>
      <xdr:colOff>400050</xdr:colOff>
      <xdr:row>75</xdr:row>
      <xdr:rowOff>28575</xdr:rowOff>
    </xdr:to>
    <xdr:sp macro="" textlink="">
      <xdr:nvSpPr>
        <xdr:cNvPr id="2070568" name="Text Box 1002"/>
        <xdr:cNvSpPr txBox="1">
          <a:spLocks noChangeArrowheads="1"/>
        </xdr:cNvSpPr>
      </xdr:nvSpPr>
      <xdr:spPr bwMode="auto">
        <a:xfrm>
          <a:off x="3076575" y="108489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73</xdr:row>
      <xdr:rowOff>0</xdr:rowOff>
    </xdr:from>
    <xdr:to>
      <xdr:col>3</xdr:col>
      <xdr:colOff>400050</xdr:colOff>
      <xdr:row>75</xdr:row>
      <xdr:rowOff>28575</xdr:rowOff>
    </xdr:to>
    <xdr:sp macro="" textlink="">
      <xdr:nvSpPr>
        <xdr:cNvPr id="2070569" name="Text Box 1003"/>
        <xdr:cNvSpPr txBox="1">
          <a:spLocks noChangeArrowheads="1"/>
        </xdr:cNvSpPr>
      </xdr:nvSpPr>
      <xdr:spPr bwMode="auto">
        <a:xfrm>
          <a:off x="3076575" y="108489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73</xdr:row>
      <xdr:rowOff>0</xdr:rowOff>
    </xdr:from>
    <xdr:to>
      <xdr:col>3</xdr:col>
      <xdr:colOff>400050</xdr:colOff>
      <xdr:row>75</xdr:row>
      <xdr:rowOff>28575</xdr:rowOff>
    </xdr:to>
    <xdr:sp macro="" textlink="">
      <xdr:nvSpPr>
        <xdr:cNvPr id="2070570" name="Text Box 1004"/>
        <xdr:cNvSpPr txBox="1">
          <a:spLocks noChangeArrowheads="1"/>
        </xdr:cNvSpPr>
      </xdr:nvSpPr>
      <xdr:spPr bwMode="auto">
        <a:xfrm>
          <a:off x="3076575" y="108489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75</xdr:row>
      <xdr:rowOff>0</xdr:rowOff>
    </xdr:from>
    <xdr:to>
      <xdr:col>3</xdr:col>
      <xdr:colOff>400050</xdr:colOff>
      <xdr:row>77</xdr:row>
      <xdr:rowOff>28575</xdr:rowOff>
    </xdr:to>
    <xdr:sp macro="" textlink="">
      <xdr:nvSpPr>
        <xdr:cNvPr id="2070571" name="Text Box 1005"/>
        <xdr:cNvSpPr txBox="1">
          <a:spLocks noChangeArrowheads="1"/>
        </xdr:cNvSpPr>
      </xdr:nvSpPr>
      <xdr:spPr bwMode="auto">
        <a:xfrm>
          <a:off x="3076575" y="110109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75</xdr:row>
      <xdr:rowOff>0</xdr:rowOff>
    </xdr:from>
    <xdr:to>
      <xdr:col>3</xdr:col>
      <xdr:colOff>400050</xdr:colOff>
      <xdr:row>77</xdr:row>
      <xdr:rowOff>28575</xdr:rowOff>
    </xdr:to>
    <xdr:sp macro="" textlink="">
      <xdr:nvSpPr>
        <xdr:cNvPr id="2070572" name="Text Box 1006"/>
        <xdr:cNvSpPr txBox="1">
          <a:spLocks noChangeArrowheads="1"/>
        </xdr:cNvSpPr>
      </xdr:nvSpPr>
      <xdr:spPr bwMode="auto">
        <a:xfrm>
          <a:off x="3076575" y="110109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73</xdr:row>
      <xdr:rowOff>0</xdr:rowOff>
    </xdr:from>
    <xdr:to>
      <xdr:col>3</xdr:col>
      <xdr:colOff>400050</xdr:colOff>
      <xdr:row>75</xdr:row>
      <xdr:rowOff>28575</xdr:rowOff>
    </xdr:to>
    <xdr:sp macro="" textlink="">
      <xdr:nvSpPr>
        <xdr:cNvPr id="2070573" name="Text Box 1007"/>
        <xdr:cNvSpPr txBox="1">
          <a:spLocks noChangeArrowheads="1"/>
        </xdr:cNvSpPr>
      </xdr:nvSpPr>
      <xdr:spPr bwMode="auto">
        <a:xfrm>
          <a:off x="3076575" y="108489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73</xdr:row>
      <xdr:rowOff>0</xdr:rowOff>
    </xdr:from>
    <xdr:to>
      <xdr:col>3</xdr:col>
      <xdr:colOff>400050</xdr:colOff>
      <xdr:row>75</xdr:row>
      <xdr:rowOff>28575</xdr:rowOff>
    </xdr:to>
    <xdr:sp macro="" textlink="">
      <xdr:nvSpPr>
        <xdr:cNvPr id="2070574" name="Text Box 1008"/>
        <xdr:cNvSpPr txBox="1">
          <a:spLocks noChangeArrowheads="1"/>
        </xdr:cNvSpPr>
      </xdr:nvSpPr>
      <xdr:spPr bwMode="auto">
        <a:xfrm>
          <a:off x="3076575" y="108489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73</xdr:row>
      <xdr:rowOff>0</xdr:rowOff>
    </xdr:from>
    <xdr:to>
      <xdr:col>3</xdr:col>
      <xdr:colOff>400050</xdr:colOff>
      <xdr:row>75</xdr:row>
      <xdr:rowOff>28575</xdr:rowOff>
    </xdr:to>
    <xdr:sp macro="" textlink="">
      <xdr:nvSpPr>
        <xdr:cNvPr id="2070575" name="Text Box 1010"/>
        <xdr:cNvSpPr txBox="1">
          <a:spLocks noChangeArrowheads="1"/>
        </xdr:cNvSpPr>
      </xdr:nvSpPr>
      <xdr:spPr bwMode="auto">
        <a:xfrm>
          <a:off x="3076575" y="108489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73</xdr:row>
      <xdr:rowOff>0</xdr:rowOff>
    </xdr:from>
    <xdr:to>
      <xdr:col>3</xdr:col>
      <xdr:colOff>400050</xdr:colOff>
      <xdr:row>75</xdr:row>
      <xdr:rowOff>28575</xdr:rowOff>
    </xdr:to>
    <xdr:sp macro="" textlink="">
      <xdr:nvSpPr>
        <xdr:cNvPr id="2070576" name="Text Box 1011"/>
        <xdr:cNvSpPr txBox="1">
          <a:spLocks noChangeArrowheads="1"/>
        </xdr:cNvSpPr>
      </xdr:nvSpPr>
      <xdr:spPr bwMode="auto">
        <a:xfrm>
          <a:off x="3076575" y="108489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73</xdr:row>
      <xdr:rowOff>0</xdr:rowOff>
    </xdr:from>
    <xdr:to>
      <xdr:col>3</xdr:col>
      <xdr:colOff>400050</xdr:colOff>
      <xdr:row>75</xdr:row>
      <xdr:rowOff>28575</xdr:rowOff>
    </xdr:to>
    <xdr:sp macro="" textlink="">
      <xdr:nvSpPr>
        <xdr:cNvPr id="2070577" name="Text Box 1012"/>
        <xdr:cNvSpPr txBox="1">
          <a:spLocks noChangeArrowheads="1"/>
        </xdr:cNvSpPr>
      </xdr:nvSpPr>
      <xdr:spPr bwMode="auto">
        <a:xfrm>
          <a:off x="3076575" y="108489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73</xdr:row>
      <xdr:rowOff>0</xdr:rowOff>
    </xdr:from>
    <xdr:to>
      <xdr:col>3</xdr:col>
      <xdr:colOff>400050</xdr:colOff>
      <xdr:row>75</xdr:row>
      <xdr:rowOff>28575</xdr:rowOff>
    </xdr:to>
    <xdr:sp macro="" textlink="">
      <xdr:nvSpPr>
        <xdr:cNvPr id="2070578" name="Text Box 1013"/>
        <xdr:cNvSpPr txBox="1">
          <a:spLocks noChangeArrowheads="1"/>
        </xdr:cNvSpPr>
      </xdr:nvSpPr>
      <xdr:spPr bwMode="auto">
        <a:xfrm>
          <a:off x="3076575" y="108489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73</xdr:row>
      <xdr:rowOff>0</xdr:rowOff>
    </xdr:from>
    <xdr:to>
      <xdr:col>3</xdr:col>
      <xdr:colOff>400050</xdr:colOff>
      <xdr:row>75</xdr:row>
      <xdr:rowOff>28575</xdr:rowOff>
    </xdr:to>
    <xdr:sp macro="" textlink="">
      <xdr:nvSpPr>
        <xdr:cNvPr id="2070579" name="Text Box 1014"/>
        <xdr:cNvSpPr txBox="1">
          <a:spLocks noChangeArrowheads="1"/>
        </xdr:cNvSpPr>
      </xdr:nvSpPr>
      <xdr:spPr bwMode="auto">
        <a:xfrm>
          <a:off x="3076575" y="108489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85</xdr:row>
      <xdr:rowOff>0</xdr:rowOff>
    </xdr:from>
    <xdr:to>
      <xdr:col>3</xdr:col>
      <xdr:colOff>400050</xdr:colOff>
      <xdr:row>86</xdr:row>
      <xdr:rowOff>28575</xdr:rowOff>
    </xdr:to>
    <xdr:sp macro="" textlink="">
      <xdr:nvSpPr>
        <xdr:cNvPr id="2070580" name="Text Box 1015"/>
        <xdr:cNvSpPr txBox="1">
          <a:spLocks noChangeArrowheads="1"/>
        </xdr:cNvSpPr>
      </xdr:nvSpPr>
      <xdr:spPr bwMode="auto">
        <a:xfrm>
          <a:off x="3076575" y="124682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85</xdr:row>
      <xdr:rowOff>0</xdr:rowOff>
    </xdr:from>
    <xdr:to>
      <xdr:col>3</xdr:col>
      <xdr:colOff>400050</xdr:colOff>
      <xdr:row>86</xdr:row>
      <xdr:rowOff>28575</xdr:rowOff>
    </xdr:to>
    <xdr:sp macro="" textlink="">
      <xdr:nvSpPr>
        <xdr:cNvPr id="2070581" name="Text Box 1016"/>
        <xdr:cNvSpPr txBox="1">
          <a:spLocks noChangeArrowheads="1"/>
        </xdr:cNvSpPr>
      </xdr:nvSpPr>
      <xdr:spPr bwMode="auto">
        <a:xfrm>
          <a:off x="3076575" y="124682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147</xdr:row>
      <xdr:rowOff>0</xdr:rowOff>
    </xdr:from>
    <xdr:to>
      <xdr:col>3</xdr:col>
      <xdr:colOff>400050</xdr:colOff>
      <xdr:row>148</xdr:row>
      <xdr:rowOff>28575</xdr:rowOff>
    </xdr:to>
    <xdr:sp macro="" textlink="">
      <xdr:nvSpPr>
        <xdr:cNvPr id="2070582" name="Text Box 1034"/>
        <xdr:cNvSpPr txBox="1">
          <a:spLocks noChangeArrowheads="1"/>
        </xdr:cNvSpPr>
      </xdr:nvSpPr>
      <xdr:spPr bwMode="auto">
        <a:xfrm>
          <a:off x="3076575" y="21859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147</xdr:row>
      <xdr:rowOff>0</xdr:rowOff>
    </xdr:from>
    <xdr:to>
      <xdr:col>3</xdr:col>
      <xdr:colOff>400050</xdr:colOff>
      <xdr:row>148</xdr:row>
      <xdr:rowOff>28575</xdr:rowOff>
    </xdr:to>
    <xdr:sp macro="" textlink="">
      <xdr:nvSpPr>
        <xdr:cNvPr id="2070583" name="Text Box 1035"/>
        <xdr:cNvSpPr txBox="1">
          <a:spLocks noChangeArrowheads="1"/>
        </xdr:cNvSpPr>
      </xdr:nvSpPr>
      <xdr:spPr bwMode="auto">
        <a:xfrm>
          <a:off x="3076575" y="21859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147</xdr:row>
      <xdr:rowOff>0</xdr:rowOff>
    </xdr:from>
    <xdr:to>
      <xdr:col>3</xdr:col>
      <xdr:colOff>400050</xdr:colOff>
      <xdr:row>148</xdr:row>
      <xdr:rowOff>28575</xdr:rowOff>
    </xdr:to>
    <xdr:sp macro="" textlink="">
      <xdr:nvSpPr>
        <xdr:cNvPr id="2070584" name="Text Box 1036"/>
        <xdr:cNvSpPr txBox="1">
          <a:spLocks noChangeArrowheads="1"/>
        </xdr:cNvSpPr>
      </xdr:nvSpPr>
      <xdr:spPr bwMode="auto">
        <a:xfrm>
          <a:off x="3076575" y="21859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35</xdr:row>
      <xdr:rowOff>0</xdr:rowOff>
    </xdr:from>
    <xdr:to>
      <xdr:col>3</xdr:col>
      <xdr:colOff>400050</xdr:colOff>
      <xdr:row>36</xdr:row>
      <xdr:rowOff>28575</xdr:rowOff>
    </xdr:to>
    <xdr:sp macro="" textlink="">
      <xdr:nvSpPr>
        <xdr:cNvPr id="2070585" name="Text Box 8"/>
        <xdr:cNvSpPr txBox="1">
          <a:spLocks noChangeArrowheads="1"/>
        </xdr:cNvSpPr>
      </xdr:nvSpPr>
      <xdr:spPr bwMode="auto">
        <a:xfrm>
          <a:off x="3076575" y="50196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35</xdr:row>
      <xdr:rowOff>0</xdr:rowOff>
    </xdr:from>
    <xdr:to>
      <xdr:col>3</xdr:col>
      <xdr:colOff>400050</xdr:colOff>
      <xdr:row>36</xdr:row>
      <xdr:rowOff>38100</xdr:rowOff>
    </xdr:to>
    <xdr:sp macro="" textlink="">
      <xdr:nvSpPr>
        <xdr:cNvPr id="2070586" name="Text Box 9"/>
        <xdr:cNvSpPr txBox="1">
          <a:spLocks noChangeArrowheads="1"/>
        </xdr:cNvSpPr>
      </xdr:nvSpPr>
      <xdr:spPr bwMode="auto">
        <a:xfrm>
          <a:off x="3076575" y="50196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35</xdr:row>
      <xdr:rowOff>0</xdr:rowOff>
    </xdr:from>
    <xdr:to>
      <xdr:col>3</xdr:col>
      <xdr:colOff>400050</xdr:colOff>
      <xdr:row>36</xdr:row>
      <xdr:rowOff>28575</xdr:rowOff>
    </xdr:to>
    <xdr:sp macro="" textlink="">
      <xdr:nvSpPr>
        <xdr:cNvPr id="2070587" name="Text Box 38"/>
        <xdr:cNvSpPr txBox="1">
          <a:spLocks noChangeArrowheads="1"/>
        </xdr:cNvSpPr>
      </xdr:nvSpPr>
      <xdr:spPr bwMode="auto">
        <a:xfrm>
          <a:off x="3076575" y="50196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35</xdr:row>
      <xdr:rowOff>0</xdr:rowOff>
    </xdr:from>
    <xdr:to>
      <xdr:col>3</xdr:col>
      <xdr:colOff>400050</xdr:colOff>
      <xdr:row>36</xdr:row>
      <xdr:rowOff>38100</xdr:rowOff>
    </xdr:to>
    <xdr:sp macro="" textlink="">
      <xdr:nvSpPr>
        <xdr:cNvPr id="2070588" name="Text Box 39"/>
        <xdr:cNvSpPr txBox="1">
          <a:spLocks noChangeArrowheads="1"/>
        </xdr:cNvSpPr>
      </xdr:nvSpPr>
      <xdr:spPr bwMode="auto">
        <a:xfrm>
          <a:off x="3076575" y="50196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35</xdr:row>
      <xdr:rowOff>0</xdr:rowOff>
    </xdr:from>
    <xdr:to>
      <xdr:col>3</xdr:col>
      <xdr:colOff>400050</xdr:colOff>
      <xdr:row>36</xdr:row>
      <xdr:rowOff>28575</xdr:rowOff>
    </xdr:to>
    <xdr:sp macro="" textlink="">
      <xdr:nvSpPr>
        <xdr:cNvPr id="2070589" name="Text Box 46"/>
        <xdr:cNvSpPr txBox="1">
          <a:spLocks noChangeArrowheads="1"/>
        </xdr:cNvSpPr>
      </xdr:nvSpPr>
      <xdr:spPr bwMode="auto">
        <a:xfrm>
          <a:off x="3076575" y="50196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35</xdr:row>
      <xdr:rowOff>0</xdr:rowOff>
    </xdr:from>
    <xdr:to>
      <xdr:col>3</xdr:col>
      <xdr:colOff>400050</xdr:colOff>
      <xdr:row>36</xdr:row>
      <xdr:rowOff>38100</xdr:rowOff>
    </xdr:to>
    <xdr:sp macro="" textlink="">
      <xdr:nvSpPr>
        <xdr:cNvPr id="2070590" name="Text Box 47"/>
        <xdr:cNvSpPr txBox="1">
          <a:spLocks noChangeArrowheads="1"/>
        </xdr:cNvSpPr>
      </xdr:nvSpPr>
      <xdr:spPr bwMode="auto">
        <a:xfrm>
          <a:off x="3076575" y="50196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35</xdr:row>
      <xdr:rowOff>0</xdr:rowOff>
    </xdr:from>
    <xdr:to>
      <xdr:col>3</xdr:col>
      <xdr:colOff>400050</xdr:colOff>
      <xdr:row>36</xdr:row>
      <xdr:rowOff>28575</xdr:rowOff>
    </xdr:to>
    <xdr:sp macro="" textlink="">
      <xdr:nvSpPr>
        <xdr:cNvPr id="2070591" name="Text Box 157"/>
        <xdr:cNvSpPr txBox="1">
          <a:spLocks noChangeArrowheads="1"/>
        </xdr:cNvSpPr>
      </xdr:nvSpPr>
      <xdr:spPr bwMode="auto">
        <a:xfrm>
          <a:off x="3076575" y="50196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35</xdr:row>
      <xdr:rowOff>0</xdr:rowOff>
    </xdr:from>
    <xdr:to>
      <xdr:col>3</xdr:col>
      <xdr:colOff>400050</xdr:colOff>
      <xdr:row>36</xdr:row>
      <xdr:rowOff>38100</xdr:rowOff>
    </xdr:to>
    <xdr:sp macro="" textlink="">
      <xdr:nvSpPr>
        <xdr:cNvPr id="2070592" name="Text Box 158"/>
        <xdr:cNvSpPr txBox="1">
          <a:spLocks noChangeArrowheads="1"/>
        </xdr:cNvSpPr>
      </xdr:nvSpPr>
      <xdr:spPr bwMode="auto">
        <a:xfrm>
          <a:off x="3076575" y="50196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36</xdr:row>
      <xdr:rowOff>0</xdr:rowOff>
    </xdr:from>
    <xdr:to>
      <xdr:col>3</xdr:col>
      <xdr:colOff>400050</xdr:colOff>
      <xdr:row>36</xdr:row>
      <xdr:rowOff>161925</xdr:rowOff>
    </xdr:to>
    <xdr:sp macro="" textlink="">
      <xdr:nvSpPr>
        <xdr:cNvPr id="2070593" name="Text Box 188"/>
        <xdr:cNvSpPr txBox="1">
          <a:spLocks noChangeArrowheads="1"/>
        </xdr:cNvSpPr>
      </xdr:nvSpPr>
      <xdr:spPr bwMode="auto">
        <a:xfrm>
          <a:off x="3076575" y="518160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36</xdr:row>
      <xdr:rowOff>85725</xdr:rowOff>
    </xdr:from>
    <xdr:to>
      <xdr:col>3</xdr:col>
      <xdr:colOff>400050</xdr:colOff>
      <xdr:row>36</xdr:row>
      <xdr:rowOff>161925</xdr:rowOff>
    </xdr:to>
    <xdr:sp macro="" textlink="">
      <xdr:nvSpPr>
        <xdr:cNvPr id="2070594" name="Text Box 189"/>
        <xdr:cNvSpPr txBox="1">
          <a:spLocks noChangeArrowheads="1"/>
        </xdr:cNvSpPr>
      </xdr:nvSpPr>
      <xdr:spPr bwMode="auto">
        <a:xfrm>
          <a:off x="3076575" y="5267325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36</xdr:row>
      <xdr:rowOff>0</xdr:rowOff>
    </xdr:from>
    <xdr:to>
      <xdr:col>3</xdr:col>
      <xdr:colOff>400050</xdr:colOff>
      <xdr:row>36</xdr:row>
      <xdr:rowOff>161925</xdr:rowOff>
    </xdr:to>
    <xdr:sp macro="" textlink="">
      <xdr:nvSpPr>
        <xdr:cNvPr id="2070595" name="Text Box 190"/>
        <xdr:cNvSpPr txBox="1">
          <a:spLocks noChangeArrowheads="1"/>
        </xdr:cNvSpPr>
      </xdr:nvSpPr>
      <xdr:spPr bwMode="auto">
        <a:xfrm>
          <a:off x="3076575" y="518160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36</xdr:row>
      <xdr:rowOff>85725</xdr:rowOff>
    </xdr:from>
    <xdr:to>
      <xdr:col>3</xdr:col>
      <xdr:colOff>400050</xdr:colOff>
      <xdr:row>36</xdr:row>
      <xdr:rowOff>161925</xdr:rowOff>
    </xdr:to>
    <xdr:sp macro="" textlink="">
      <xdr:nvSpPr>
        <xdr:cNvPr id="2070596" name="Text Box 191"/>
        <xdr:cNvSpPr txBox="1">
          <a:spLocks noChangeArrowheads="1"/>
        </xdr:cNvSpPr>
      </xdr:nvSpPr>
      <xdr:spPr bwMode="auto">
        <a:xfrm>
          <a:off x="3076575" y="5267325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36</xdr:row>
      <xdr:rowOff>0</xdr:rowOff>
    </xdr:from>
    <xdr:to>
      <xdr:col>3</xdr:col>
      <xdr:colOff>400050</xdr:colOff>
      <xdr:row>36</xdr:row>
      <xdr:rowOff>161925</xdr:rowOff>
    </xdr:to>
    <xdr:sp macro="" textlink="">
      <xdr:nvSpPr>
        <xdr:cNvPr id="2070597" name="Text Box 192"/>
        <xdr:cNvSpPr txBox="1">
          <a:spLocks noChangeArrowheads="1"/>
        </xdr:cNvSpPr>
      </xdr:nvSpPr>
      <xdr:spPr bwMode="auto">
        <a:xfrm>
          <a:off x="3076575" y="518160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36</xdr:row>
      <xdr:rowOff>85725</xdr:rowOff>
    </xdr:from>
    <xdr:to>
      <xdr:col>3</xdr:col>
      <xdr:colOff>400050</xdr:colOff>
      <xdr:row>36</xdr:row>
      <xdr:rowOff>161925</xdr:rowOff>
    </xdr:to>
    <xdr:sp macro="" textlink="">
      <xdr:nvSpPr>
        <xdr:cNvPr id="2070598" name="Text Box 193"/>
        <xdr:cNvSpPr txBox="1">
          <a:spLocks noChangeArrowheads="1"/>
        </xdr:cNvSpPr>
      </xdr:nvSpPr>
      <xdr:spPr bwMode="auto">
        <a:xfrm>
          <a:off x="3076575" y="5267325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36</xdr:row>
      <xdr:rowOff>0</xdr:rowOff>
    </xdr:from>
    <xdr:to>
      <xdr:col>3</xdr:col>
      <xdr:colOff>400050</xdr:colOff>
      <xdr:row>36</xdr:row>
      <xdr:rowOff>161925</xdr:rowOff>
    </xdr:to>
    <xdr:sp macro="" textlink="">
      <xdr:nvSpPr>
        <xdr:cNvPr id="2070599" name="Text Box 194"/>
        <xdr:cNvSpPr txBox="1">
          <a:spLocks noChangeArrowheads="1"/>
        </xdr:cNvSpPr>
      </xdr:nvSpPr>
      <xdr:spPr bwMode="auto">
        <a:xfrm>
          <a:off x="3076575" y="518160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36</xdr:row>
      <xdr:rowOff>85725</xdr:rowOff>
    </xdr:from>
    <xdr:to>
      <xdr:col>3</xdr:col>
      <xdr:colOff>400050</xdr:colOff>
      <xdr:row>36</xdr:row>
      <xdr:rowOff>161925</xdr:rowOff>
    </xdr:to>
    <xdr:sp macro="" textlink="">
      <xdr:nvSpPr>
        <xdr:cNvPr id="2070600" name="Text Box 195"/>
        <xdr:cNvSpPr txBox="1">
          <a:spLocks noChangeArrowheads="1"/>
        </xdr:cNvSpPr>
      </xdr:nvSpPr>
      <xdr:spPr bwMode="auto">
        <a:xfrm>
          <a:off x="3076575" y="5267325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35</xdr:row>
      <xdr:rowOff>0</xdr:rowOff>
    </xdr:from>
    <xdr:to>
      <xdr:col>3</xdr:col>
      <xdr:colOff>400050</xdr:colOff>
      <xdr:row>36</xdr:row>
      <xdr:rowOff>28575</xdr:rowOff>
    </xdr:to>
    <xdr:sp macro="" textlink="">
      <xdr:nvSpPr>
        <xdr:cNvPr id="2070601" name="Text Box 230"/>
        <xdr:cNvSpPr txBox="1">
          <a:spLocks noChangeArrowheads="1"/>
        </xdr:cNvSpPr>
      </xdr:nvSpPr>
      <xdr:spPr bwMode="auto">
        <a:xfrm>
          <a:off x="3076575" y="50196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35</xdr:row>
      <xdr:rowOff>0</xdr:rowOff>
    </xdr:from>
    <xdr:to>
      <xdr:col>3</xdr:col>
      <xdr:colOff>400050</xdr:colOff>
      <xdr:row>36</xdr:row>
      <xdr:rowOff>38100</xdr:rowOff>
    </xdr:to>
    <xdr:sp macro="" textlink="">
      <xdr:nvSpPr>
        <xdr:cNvPr id="2070602" name="Text Box 231"/>
        <xdr:cNvSpPr txBox="1">
          <a:spLocks noChangeArrowheads="1"/>
        </xdr:cNvSpPr>
      </xdr:nvSpPr>
      <xdr:spPr bwMode="auto">
        <a:xfrm>
          <a:off x="3076575" y="50196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35</xdr:row>
      <xdr:rowOff>0</xdr:rowOff>
    </xdr:from>
    <xdr:to>
      <xdr:col>3</xdr:col>
      <xdr:colOff>400050</xdr:colOff>
      <xdr:row>36</xdr:row>
      <xdr:rowOff>28575</xdr:rowOff>
    </xdr:to>
    <xdr:sp macro="" textlink="">
      <xdr:nvSpPr>
        <xdr:cNvPr id="2070603" name="Text Box 453"/>
        <xdr:cNvSpPr txBox="1">
          <a:spLocks noChangeArrowheads="1"/>
        </xdr:cNvSpPr>
      </xdr:nvSpPr>
      <xdr:spPr bwMode="auto">
        <a:xfrm>
          <a:off x="3076575" y="50196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35</xdr:row>
      <xdr:rowOff>85725</xdr:rowOff>
    </xdr:from>
    <xdr:to>
      <xdr:col>3</xdr:col>
      <xdr:colOff>400050</xdr:colOff>
      <xdr:row>36</xdr:row>
      <xdr:rowOff>114300</xdr:rowOff>
    </xdr:to>
    <xdr:sp macro="" textlink="">
      <xdr:nvSpPr>
        <xdr:cNvPr id="2070604" name="Text Box 454"/>
        <xdr:cNvSpPr txBox="1">
          <a:spLocks noChangeArrowheads="1"/>
        </xdr:cNvSpPr>
      </xdr:nvSpPr>
      <xdr:spPr bwMode="auto">
        <a:xfrm>
          <a:off x="3076575" y="51054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35</xdr:row>
      <xdr:rowOff>0</xdr:rowOff>
    </xdr:from>
    <xdr:to>
      <xdr:col>3</xdr:col>
      <xdr:colOff>400050</xdr:colOff>
      <xdr:row>36</xdr:row>
      <xdr:rowOff>28575</xdr:rowOff>
    </xdr:to>
    <xdr:sp macro="" textlink="">
      <xdr:nvSpPr>
        <xdr:cNvPr id="2070605" name="Text Box 455"/>
        <xdr:cNvSpPr txBox="1">
          <a:spLocks noChangeArrowheads="1"/>
        </xdr:cNvSpPr>
      </xdr:nvSpPr>
      <xdr:spPr bwMode="auto">
        <a:xfrm>
          <a:off x="3076575" y="50196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35</xdr:row>
      <xdr:rowOff>85725</xdr:rowOff>
    </xdr:from>
    <xdr:to>
      <xdr:col>3</xdr:col>
      <xdr:colOff>400050</xdr:colOff>
      <xdr:row>36</xdr:row>
      <xdr:rowOff>114300</xdr:rowOff>
    </xdr:to>
    <xdr:sp macro="" textlink="">
      <xdr:nvSpPr>
        <xdr:cNvPr id="2070606" name="Text Box 456"/>
        <xdr:cNvSpPr txBox="1">
          <a:spLocks noChangeArrowheads="1"/>
        </xdr:cNvSpPr>
      </xdr:nvSpPr>
      <xdr:spPr bwMode="auto">
        <a:xfrm>
          <a:off x="3076575" y="51054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35</xdr:row>
      <xdr:rowOff>0</xdr:rowOff>
    </xdr:from>
    <xdr:to>
      <xdr:col>3</xdr:col>
      <xdr:colOff>400050</xdr:colOff>
      <xdr:row>36</xdr:row>
      <xdr:rowOff>28575</xdr:rowOff>
    </xdr:to>
    <xdr:sp macro="" textlink="">
      <xdr:nvSpPr>
        <xdr:cNvPr id="2070607" name="Text Box 457"/>
        <xdr:cNvSpPr txBox="1">
          <a:spLocks noChangeArrowheads="1"/>
        </xdr:cNvSpPr>
      </xdr:nvSpPr>
      <xdr:spPr bwMode="auto">
        <a:xfrm>
          <a:off x="3076575" y="50196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35</xdr:row>
      <xdr:rowOff>85725</xdr:rowOff>
    </xdr:from>
    <xdr:to>
      <xdr:col>3</xdr:col>
      <xdr:colOff>400050</xdr:colOff>
      <xdr:row>36</xdr:row>
      <xdr:rowOff>114300</xdr:rowOff>
    </xdr:to>
    <xdr:sp macro="" textlink="">
      <xdr:nvSpPr>
        <xdr:cNvPr id="2070608" name="Text Box 458"/>
        <xdr:cNvSpPr txBox="1">
          <a:spLocks noChangeArrowheads="1"/>
        </xdr:cNvSpPr>
      </xdr:nvSpPr>
      <xdr:spPr bwMode="auto">
        <a:xfrm>
          <a:off x="3076575" y="51054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35</xdr:row>
      <xdr:rowOff>0</xdr:rowOff>
    </xdr:from>
    <xdr:to>
      <xdr:col>3</xdr:col>
      <xdr:colOff>400050</xdr:colOff>
      <xdr:row>36</xdr:row>
      <xdr:rowOff>28575</xdr:rowOff>
    </xdr:to>
    <xdr:sp macro="" textlink="">
      <xdr:nvSpPr>
        <xdr:cNvPr id="2070609" name="Text Box 459"/>
        <xdr:cNvSpPr txBox="1">
          <a:spLocks noChangeArrowheads="1"/>
        </xdr:cNvSpPr>
      </xdr:nvSpPr>
      <xdr:spPr bwMode="auto">
        <a:xfrm>
          <a:off x="3076575" y="50196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35</xdr:row>
      <xdr:rowOff>85725</xdr:rowOff>
    </xdr:from>
    <xdr:to>
      <xdr:col>3</xdr:col>
      <xdr:colOff>400050</xdr:colOff>
      <xdr:row>36</xdr:row>
      <xdr:rowOff>114300</xdr:rowOff>
    </xdr:to>
    <xdr:sp macro="" textlink="">
      <xdr:nvSpPr>
        <xdr:cNvPr id="2070610" name="Text Box 460"/>
        <xdr:cNvSpPr txBox="1">
          <a:spLocks noChangeArrowheads="1"/>
        </xdr:cNvSpPr>
      </xdr:nvSpPr>
      <xdr:spPr bwMode="auto">
        <a:xfrm>
          <a:off x="3076575" y="51054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35</xdr:row>
      <xdr:rowOff>0</xdr:rowOff>
    </xdr:from>
    <xdr:to>
      <xdr:col>3</xdr:col>
      <xdr:colOff>400050</xdr:colOff>
      <xdr:row>36</xdr:row>
      <xdr:rowOff>28575</xdr:rowOff>
    </xdr:to>
    <xdr:sp macro="" textlink="">
      <xdr:nvSpPr>
        <xdr:cNvPr id="2070611" name="Text Box 461"/>
        <xdr:cNvSpPr txBox="1">
          <a:spLocks noChangeArrowheads="1"/>
        </xdr:cNvSpPr>
      </xdr:nvSpPr>
      <xdr:spPr bwMode="auto">
        <a:xfrm>
          <a:off x="3076575" y="50196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35</xdr:row>
      <xdr:rowOff>0</xdr:rowOff>
    </xdr:from>
    <xdr:to>
      <xdr:col>3</xdr:col>
      <xdr:colOff>400050</xdr:colOff>
      <xdr:row>36</xdr:row>
      <xdr:rowOff>28575</xdr:rowOff>
    </xdr:to>
    <xdr:sp macro="" textlink="">
      <xdr:nvSpPr>
        <xdr:cNvPr id="2070612" name="Text Box 528"/>
        <xdr:cNvSpPr txBox="1">
          <a:spLocks noChangeArrowheads="1"/>
        </xdr:cNvSpPr>
      </xdr:nvSpPr>
      <xdr:spPr bwMode="auto">
        <a:xfrm>
          <a:off x="3076575" y="50196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35</xdr:row>
      <xdr:rowOff>0</xdr:rowOff>
    </xdr:from>
    <xdr:to>
      <xdr:col>3</xdr:col>
      <xdr:colOff>400050</xdr:colOff>
      <xdr:row>36</xdr:row>
      <xdr:rowOff>38100</xdr:rowOff>
    </xdr:to>
    <xdr:sp macro="" textlink="">
      <xdr:nvSpPr>
        <xdr:cNvPr id="2070613" name="Text Box 529"/>
        <xdr:cNvSpPr txBox="1">
          <a:spLocks noChangeArrowheads="1"/>
        </xdr:cNvSpPr>
      </xdr:nvSpPr>
      <xdr:spPr bwMode="auto">
        <a:xfrm>
          <a:off x="3076575" y="50196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35</xdr:row>
      <xdr:rowOff>0</xdr:rowOff>
    </xdr:from>
    <xdr:to>
      <xdr:col>3</xdr:col>
      <xdr:colOff>400050</xdr:colOff>
      <xdr:row>36</xdr:row>
      <xdr:rowOff>28575</xdr:rowOff>
    </xdr:to>
    <xdr:sp macro="" textlink="">
      <xdr:nvSpPr>
        <xdr:cNvPr id="2070614" name="Text Box 532"/>
        <xdr:cNvSpPr txBox="1">
          <a:spLocks noChangeArrowheads="1"/>
        </xdr:cNvSpPr>
      </xdr:nvSpPr>
      <xdr:spPr bwMode="auto">
        <a:xfrm>
          <a:off x="3076575" y="50196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35</xdr:row>
      <xdr:rowOff>85725</xdr:rowOff>
    </xdr:from>
    <xdr:to>
      <xdr:col>3</xdr:col>
      <xdr:colOff>400050</xdr:colOff>
      <xdr:row>36</xdr:row>
      <xdr:rowOff>114300</xdr:rowOff>
    </xdr:to>
    <xdr:sp macro="" textlink="">
      <xdr:nvSpPr>
        <xdr:cNvPr id="2070615" name="Text Box 533"/>
        <xdr:cNvSpPr txBox="1">
          <a:spLocks noChangeArrowheads="1"/>
        </xdr:cNvSpPr>
      </xdr:nvSpPr>
      <xdr:spPr bwMode="auto">
        <a:xfrm>
          <a:off x="3076575" y="51054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35</xdr:row>
      <xdr:rowOff>0</xdr:rowOff>
    </xdr:from>
    <xdr:to>
      <xdr:col>3</xdr:col>
      <xdr:colOff>400050</xdr:colOff>
      <xdr:row>36</xdr:row>
      <xdr:rowOff>28575</xdr:rowOff>
    </xdr:to>
    <xdr:sp macro="" textlink="">
      <xdr:nvSpPr>
        <xdr:cNvPr id="2070616" name="Text Box 534"/>
        <xdr:cNvSpPr txBox="1">
          <a:spLocks noChangeArrowheads="1"/>
        </xdr:cNvSpPr>
      </xdr:nvSpPr>
      <xdr:spPr bwMode="auto">
        <a:xfrm>
          <a:off x="3076575" y="50196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35</xdr:row>
      <xdr:rowOff>85725</xdr:rowOff>
    </xdr:from>
    <xdr:to>
      <xdr:col>3</xdr:col>
      <xdr:colOff>400050</xdr:colOff>
      <xdr:row>36</xdr:row>
      <xdr:rowOff>114300</xdr:rowOff>
    </xdr:to>
    <xdr:sp macro="" textlink="">
      <xdr:nvSpPr>
        <xdr:cNvPr id="2070617" name="Text Box 535"/>
        <xdr:cNvSpPr txBox="1">
          <a:spLocks noChangeArrowheads="1"/>
        </xdr:cNvSpPr>
      </xdr:nvSpPr>
      <xdr:spPr bwMode="auto">
        <a:xfrm>
          <a:off x="3076575" y="51054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35</xdr:row>
      <xdr:rowOff>0</xdr:rowOff>
    </xdr:from>
    <xdr:to>
      <xdr:col>3</xdr:col>
      <xdr:colOff>400050</xdr:colOff>
      <xdr:row>36</xdr:row>
      <xdr:rowOff>28575</xdr:rowOff>
    </xdr:to>
    <xdr:sp macro="" textlink="">
      <xdr:nvSpPr>
        <xdr:cNvPr id="2070618" name="Text Box 931"/>
        <xdr:cNvSpPr txBox="1">
          <a:spLocks noChangeArrowheads="1"/>
        </xdr:cNvSpPr>
      </xdr:nvSpPr>
      <xdr:spPr bwMode="auto">
        <a:xfrm>
          <a:off x="3076575" y="50196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35</xdr:row>
      <xdr:rowOff>0</xdr:rowOff>
    </xdr:from>
    <xdr:to>
      <xdr:col>3</xdr:col>
      <xdr:colOff>400050</xdr:colOff>
      <xdr:row>36</xdr:row>
      <xdr:rowOff>38100</xdr:rowOff>
    </xdr:to>
    <xdr:sp macro="" textlink="">
      <xdr:nvSpPr>
        <xdr:cNvPr id="2070619" name="Text Box 932"/>
        <xdr:cNvSpPr txBox="1">
          <a:spLocks noChangeArrowheads="1"/>
        </xdr:cNvSpPr>
      </xdr:nvSpPr>
      <xdr:spPr bwMode="auto">
        <a:xfrm>
          <a:off x="3076575" y="50196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35</xdr:row>
      <xdr:rowOff>0</xdr:rowOff>
    </xdr:from>
    <xdr:to>
      <xdr:col>3</xdr:col>
      <xdr:colOff>400050</xdr:colOff>
      <xdr:row>36</xdr:row>
      <xdr:rowOff>28575</xdr:rowOff>
    </xdr:to>
    <xdr:sp macro="" textlink="">
      <xdr:nvSpPr>
        <xdr:cNvPr id="2070620" name="Text Box 933"/>
        <xdr:cNvSpPr txBox="1">
          <a:spLocks noChangeArrowheads="1"/>
        </xdr:cNvSpPr>
      </xdr:nvSpPr>
      <xdr:spPr bwMode="auto">
        <a:xfrm>
          <a:off x="3076575" y="50196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35</xdr:row>
      <xdr:rowOff>0</xdr:rowOff>
    </xdr:from>
    <xdr:to>
      <xdr:col>3</xdr:col>
      <xdr:colOff>400050</xdr:colOff>
      <xdr:row>36</xdr:row>
      <xdr:rowOff>38100</xdr:rowOff>
    </xdr:to>
    <xdr:sp macro="" textlink="">
      <xdr:nvSpPr>
        <xdr:cNvPr id="2070621" name="Text Box 934"/>
        <xdr:cNvSpPr txBox="1">
          <a:spLocks noChangeArrowheads="1"/>
        </xdr:cNvSpPr>
      </xdr:nvSpPr>
      <xdr:spPr bwMode="auto">
        <a:xfrm>
          <a:off x="3076575" y="50196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35</xdr:row>
      <xdr:rowOff>0</xdr:rowOff>
    </xdr:from>
    <xdr:to>
      <xdr:col>3</xdr:col>
      <xdr:colOff>400050</xdr:colOff>
      <xdr:row>36</xdr:row>
      <xdr:rowOff>28575</xdr:rowOff>
    </xdr:to>
    <xdr:sp macro="" textlink="">
      <xdr:nvSpPr>
        <xdr:cNvPr id="2070622" name="Text Box 935"/>
        <xdr:cNvSpPr txBox="1">
          <a:spLocks noChangeArrowheads="1"/>
        </xdr:cNvSpPr>
      </xdr:nvSpPr>
      <xdr:spPr bwMode="auto">
        <a:xfrm>
          <a:off x="3076575" y="50196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35</xdr:row>
      <xdr:rowOff>0</xdr:rowOff>
    </xdr:from>
    <xdr:to>
      <xdr:col>3</xdr:col>
      <xdr:colOff>400050</xdr:colOff>
      <xdr:row>36</xdr:row>
      <xdr:rowOff>38100</xdr:rowOff>
    </xdr:to>
    <xdr:sp macro="" textlink="">
      <xdr:nvSpPr>
        <xdr:cNvPr id="2070623" name="Text Box 936"/>
        <xdr:cNvSpPr txBox="1">
          <a:spLocks noChangeArrowheads="1"/>
        </xdr:cNvSpPr>
      </xdr:nvSpPr>
      <xdr:spPr bwMode="auto">
        <a:xfrm>
          <a:off x="3076575" y="50196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35</xdr:row>
      <xdr:rowOff>0</xdr:rowOff>
    </xdr:from>
    <xdr:to>
      <xdr:col>3</xdr:col>
      <xdr:colOff>400050</xdr:colOff>
      <xdr:row>36</xdr:row>
      <xdr:rowOff>28575</xdr:rowOff>
    </xdr:to>
    <xdr:sp macro="" textlink="">
      <xdr:nvSpPr>
        <xdr:cNvPr id="2070624" name="Text Box 937"/>
        <xdr:cNvSpPr txBox="1">
          <a:spLocks noChangeArrowheads="1"/>
        </xdr:cNvSpPr>
      </xdr:nvSpPr>
      <xdr:spPr bwMode="auto">
        <a:xfrm>
          <a:off x="3076575" y="50196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35</xdr:row>
      <xdr:rowOff>0</xdr:rowOff>
    </xdr:from>
    <xdr:to>
      <xdr:col>3</xdr:col>
      <xdr:colOff>400050</xdr:colOff>
      <xdr:row>36</xdr:row>
      <xdr:rowOff>38100</xdr:rowOff>
    </xdr:to>
    <xdr:sp macro="" textlink="">
      <xdr:nvSpPr>
        <xdr:cNvPr id="2070625" name="Text Box 938"/>
        <xdr:cNvSpPr txBox="1">
          <a:spLocks noChangeArrowheads="1"/>
        </xdr:cNvSpPr>
      </xdr:nvSpPr>
      <xdr:spPr bwMode="auto">
        <a:xfrm>
          <a:off x="3076575" y="50196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36</xdr:row>
      <xdr:rowOff>0</xdr:rowOff>
    </xdr:from>
    <xdr:to>
      <xdr:col>3</xdr:col>
      <xdr:colOff>400050</xdr:colOff>
      <xdr:row>36</xdr:row>
      <xdr:rowOff>161925</xdr:rowOff>
    </xdr:to>
    <xdr:sp macro="" textlink="">
      <xdr:nvSpPr>
        <xdr:cNvPr id="2070626" name="Text Box 941"/>
        <xdr:cNvSpPr txBox="1">
          <a:spLocks noChangeArrowheads="1"/>
        </xdr:cNvSpPr>
      </xdr:nvSpPr>
      <xdr:spPr bwMode="auto">
        <a:xfrm>
          <a:off x="3076575" y="518160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36</xdr:row>
      <xdr:rowOff>85725</xdr:rowOff>
    </xdr:from>
    <xdr:to>
      <xdr:col>3</xdr:col>
      <xdr:colOff>400050</xdr:colOff>
      <xdr:row>36</xdr:row>
      <xdr:rowOff>161925</xdr:rowOff>
    </xdr:to>
    <xdr:sp macro="" textlink="">
      <xdr:nvSpPr>
        <xdr:cNvPr id="2070627" name="Text Box 942"/>
        <xdr:cNvSpPr txBox="1">
          <a:spLocks noChangeArrowheads="1"/>
        </xdr:cNvSpPr>
      </xdr:nvSpPr>
      <xdr:spPr bwMode="auto">
        <a:xfrm>
          <a:off x="3076575" y="5267325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36</xdr:row>
      <xdr:rowOff>0</xdr:rowOff>
    </xdr:from>
    <xdr:to>
      <xdr:col>3</xdr:col>
      <xdr:colOff>400050</xdr:colOff>
      <xdr:row>36</xdr:row>
      <xdr:rowOff>161925</xdr:rowOff>
    </xdr:to>
    <xdr:sp macro="" textlink="">
      <xdr:nvSpPr>
        <xdr:cNvPr id="2070628" name="Text Box 943"/>
        <xdr:cNvSpPr txBox="1">
          <a:spLocks noChangeArrowheads="1"/>
        </xdr:cNvSpPr>
      </xdr:nvSpPr>
      <xdr:spPr bwMode="auto">
        <a:xfrm>
          <a:off x="3076575" y="518160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36</xdr:row>
      <xdr:rowOff>85725</xdr:rowOff>
    </xdr:from>
    <xdr:to>
      <xdr:col>3</xdr:col>
      <xdr:colOff>400050</xdr:colOff>
      <xdr:row>36</xdr:row>
      <xdr:rowOff>161925</xdr:rowOff>
    </xdr:to>
    <xdr:sp macro="" textlink="">
      <xdr:nvSpPr>
        <xdr:cNvPr id="2070629" name="Text Box 944"/>
        <xdr:cNvSpPr txBox="1">
          <a:spLocks noChangeArrowheads="1"/>
        </xdr:cNvSpPr>
      </xdr:nvSpPr>
      <xdr:spPr bwMode="auto">
        <a:xfrm>
          <a:off x="3076575" y="5267325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36</xdr:row>
      <xdr:rowOff>0</xdr:rowOff>
    </xdr:from>
    <xdr:to>
      <xdr:col>3</xdr:col>
      <xdr:colOff>400050</xdr:colOff>
      <xdr:row>36</xdr:row>
      <xdr:rowOff>161925</xdr:rowOff>
    </xdr:to>
    <xdr:sp macro="" textlink="">
      <xdr:nvSpPr>
        <xdr:cNvPr id="2070630" name="Text Box 945"/>
        <xdr:cNvSpPr txBox="1">
          <a:spLocks noChangeArrowheads="1"/>
        </xdr:cNvSpPr>
      </xdr:nvSpPr>
      <xdr:spPr bwMode="auto">
        <a:xfrm>
          <a:off x="3076575" y="518160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36</xdr:row>
      <xdr:rowOff>85725</xdr:rowOff>
    </xdr:from>
    <xdr:to>
      <xdr:col>3</xdr:col>
      <xdr:colOff>400050</xdr:colOff>
      <xdr:row>36</xdr:row>
      <xdr:rowOff>161925</xdr:rowOff>
    </xdr:to>
    <xdr:sp macro="" textlink="">
      <xdr:nvSpPr>
        <xdr:cNvPr id="2070631" name="Text Box 946"/>
        <xdr:cNvSpPr txBox="1">
          <a:spLocks noChangeArrowheads="1"/>
        </xdr:cNvSpPr>
      </xdr:nvSpPr>
      <xdr:spPr bwMode="auto">
        <a:xfrm>
          <a:off x="3076575" y="5267325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36</xdr:row>
      <xdr:rowOff>0</xdr:rowOff>
    </xdr:from>
    <xdr:to>
      <xdr:col>3</xdr:col>
      <xdr:colOff>400050</xdr:colOff>
      <xdr:row>36</xdr:row>
      <xdr:rowOff>161925</xdr:rowOff>
    </xdr:to>
    <xdr:sp macro="" textlink="">
      <xdr:nvSpPr>
        <xdr:cNvPr id="2070632" name="Text Box 947"/>
        <xdr:cNvSpPr txBox="1">
          <a:spLocks noChangeArrowheads="1"/>
        </xdr:cNvSpPr>
      </xdr:nvSpPr>
      <xdr:spPr bwMode="auto">
        <a:xfrm>
          <a:off x="3076575" y="518160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36</xdr:row>
      <xdr:rowOff>85725</xdr:rowOff>
    </xdr:from>
    <xdr:to>
      <xdr:col>3</xdr:col>
      <xdr:colOff>400050</xdr:colOff>
      <xdr:row>36</xdr:row>
      <xdr:rowOff>161925</xdr:rowOff>
    </xdr:to>
    <xdr:sp macro="" textlink="">
      <xdr:nvSpPr>
        <xdr:cNvPr id="2070633" name="Text Box 948"/>
        <xdr:cNvSpPr txBox="1">
          <a:spLocks noChangeArrowheads="1"/>
        </xdr:cNvSpPr>
      </xdr:nvSpPr>
      <xdr:spPr bwMode="auto">
        <a:xfrm>
          <a:off x="3076575" y="5267325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35</xdr:row>
      <xdr:rowOff>0</xdr:rowOff>
    </xdr:from>
    <xdr:to>
      <xdr:col>3</xdr:col>
      <xdr:colOff>400050</xdr:colOff>
      <xdr:row>36</xdr:row>
      <xdr:rowOff>28575</xdr:rowOff>
    </xdr:to>
    <xdr:sp macro="" textlink="">
      <xdr:nvSpPr>
        <xdr:cNvPr id="2070634" name="Text Box 949"/>
        <xdr:cNvSpPr txBox="1">
          <a:spLocks noChangeArrowheads="1"/>
        </xdr:cNvSpPr>
      </xdr:nvSpPr>
      <xdr:spPr bwMode="auto">
        <a:xfrm>
          <a:off x="3076575" y="50196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35</xdr:row>
      <xdr:rowOff>0</xdr:rowOff>
    </xdr:from>
    <xdr:to>
      <xdr:col>3</xdr:col>
      <xdr:colOff>400050</xdr:colOff>
      <xdr:row>36</xdr:row>
      <xdr:rowOff>38100</xdr:rowOff>
    </xdr:to>
    <xdr:sp macro="" textlink="">
      <xdr:nvSpPr>
        <xdr:cNvPr id="2070635" name="Text Box 950"/>
        <xdr:cNvSpPr txBox="1">
          <a:spLocks noChangeArrowheads="1"/>
        </xdr:cNvSpPr>
      </xdr:nvSpPr>
      <xdr:spPr bwMode="auto">
        <a:xfrm>
          <a:off x="3076575" y="50196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35</xdr:row>
      <xdr:rowOff>0</xdr:rowOff>
    </xdr:from>
    <xdr:to>
      <xdr:col>3</xdr:col>
      <xdr:colOff>400050</xdr:colOff>
      <xdr:row>36</xdr:row>
      <xdr:rowOff>28575</xdr:rowOff>
    </xdr:to>
    <xdr:sp macro="" textlink="">
      <xdr:nvSpPr>
        <xdr:cNvPr id="2070636" name="Text Box 953"/>
        <xdr:cNvSpPr txBox="1">
          <a:spLocks noChangeArrowheads="1"/>
        </xdr:cNvSpPr>
      </xdr:nvSpPr>
      <xdr:spPr bwMode="auto">
        <a:xfrm>
          <a:off x="3076575" y="50196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35</xdr:row>
      <xdr:rowOff>85725</xdr:rowOff>
    </xdr:from>
    <xdr:to>
      <xdr:col>3</xdr:col>
      <xdr:colOff>400050</xdr:colOff>
      <xdr:row>36</xdr:row>
      <xdr:rowOff>114300</xdr:rowOff>
    </xdr:to>
    <xdr:sp macro="" textlink="">
      <xdr:nvSpPr>
        <xdr:cNvPr id="2070637" name="Text Box 954"/>
        <xdr:cNvSpPr txBox="1">
          <a:spLocks noChangeArrowheads="1"/>
        </xdr:cNvSpPr>
      </xdr:nvSpPr>
      <xdr:spPr bwMode="auto">
        <a:xfrm>
          <a:off x="3076575" y="51054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35</xdr:row>
      <xdr:rowOff>0</xdr:rowOff>
    </xdr:from>
    <xdr:to>
      <xdr:col>3</xdr:col>
      <xdr:colOff>400050</xdr:colOff>
      <xdr:row>36</xdr:row>
      <xdr:rowOff>28575</xdr:rowOff>
    </xdr:to>
    <xdr:sp macro="" textlink="">
      <xdr:nvSpPr>
        <xdr:cNvPr id="2070638" name="Text Box 955"/>
        <xdr:cNvSpPr txBox="1">
          <a:spLocks noChangeArrowheads="1"/>
        </xdr:cNvSpPr>
      </xdr:nvSpPr>
      <xdr:spPr bwMode="auto">
        <a:xfrm>
          <a:off x="3076575" y="50196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35</xdr:row>
      <xdr:rowOff>85725</xdr:rowOff>
    </xdr:from>
    <xdr:to>
      <xdr:col>3</xdr:col>
      <xdr:colOff>400050</xdr:colOff>
      <xdr:row>36</xdr:row>
      <xdr:rowOff>114300</xdr:rowOff>
    </xdr:to>
    <xdr:sp macro="" textlink="">
      <xdr:nvSpPr>
        <xdr:cNvPr id="2070639" name="Text Box 956"/>
        <xdr:cNvSpPr txBox="1">
          <a:spLocks noChangeArrowheads="1"/>
        </xdr:cNvSpPr>
      </xdr:nvSpPr>
      <xdr:spPr bwMode="auto">
        <a:xfrm>
          <a:off x="3076575" y="51054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35</xdr:row>
      <xdr:rowOff>0</xdr:rowOff>
    </xdr:from>
    <xdr:to>
      <xdr:col>3</xdr:col>
      <xdr:colOff>400050</xdr:colOff>
      <xdr:row>36</xdr:row>
      <xdr:rowOff>28575</xdr:rowOff>
    </xdr:to>
    <xdr:sp macro="" textlink="">
      <xdr:nvSpPr>
        <xdr:cNvPr id="2070640" name="Text Box 957"/>
        <xdr:cNvSpPr txBox="1">
          <a:spLocks noChangeArrowheads="1"/>
        </xdr:cNvSpPr>
      </xdr:nvSpPr>
      <xdr:spPr bwMode="auto">
        <a:xfrm>
          <a:off x="3076575" y="50196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35</xdr:row>
      <xdr:rowOff>85725</xdr:rowOff>
    </xdr:from>
    <xdr:to>
      <xdr:col>3</xdr:col>
      <xdr:colOff>400050</xdr:colOff>
      <xdr:row>36</xdr:row>
      <xdr:rowOff>114300</xdr:rowOff>
    </xdr:to>
    <xdr:sp macro="" textlink="">
      <xdr:nvSpPr>
        <xdr:cNvPr id="2070641" name="Text Box 958"/>
        <xdr:cNvSpPr txBox="1">
          <a:spLocks noChangeArrowheads="1"/>
        </xdr:cNvSpPr>
      </xdr:nvSpPr>
      <xdr:spPr bwMode="auto">
        <a:xfrm>
          <a:off x="3076575" y="51054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35</xdr:row>
      <xdr:rowOff>0</xdr:rowOff>
    </xdr:from>
    <xdr:to>
      <xdr:col>3</xdr:col>
      <xdr:colOff>400050</xdr:colOff>
      <xdr:row>36</xdr:row>
      <xdr:rowOff>28575</xdr:rowOff>
    </xdr:to>
    <xdr:sp macro="" textlink="">
      <xdr:nvSpPr>
        <xdr:cNvPr id="2070642" name="Text Box 959"/>
        <xdr:cNvSpPr txBox="1">
          <a:spLocks noChangeArrowheads="1"/>
        </xdr:cNvSpPr>
      </xdr:nvSpPr>
      <xdr:spPr bwMode="auto">
        <a:xfrm>
          <a:off x="3076575" y="50196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35</xdr:row>
      <xdr:rowOff>85725</xdr:rowOff>
    </xdr:from>
    <xdr:to>
      <xdr:col>3</xdr:col>
      <xdr:colOff>400050</xdr:colOff>
      <xdr:row>36</xdr:row>
      <xdr:rowOff>114300</xdr:rowOff>
    </xdr:to>
    <xdr:sp macro="" textlink="">
      <xdr:nvSpPr>
        <xdr:cNvPr id="2070643" name="Text Box 960"/>
        <xdr:cNvSpPr txBox="1">
          <a:spLocks noChangeArrowheads="1"/>
        </xdr:cNvSpPr>
      </xdr:nvSpPr>
      <xdr:spPr bwMode="auto">
        <a:xfrm>
          <a:off x="3076575" y="51054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35</xdr:row>
      <xdr:rowOff>0</xdr:rowOff>
    </xdr:from>
    <xdr:to>
      <xdr:col>3</xdr:col>
      <xdr:colOff>400050</xdr:colOff>
      <xdr:row>36</xdr:row>
      <xdr:rowOff>28575</xdr:rowOff>
    </xdr:to>
    <xdr:sp macro="" textlink="">
      <xdr:nvSpPr>
        <xdr:cNvPr id="2070644" name="Text Box 961"/>
        <xdr:cNvSpPr txBox="1">
          <a:spLocks noChangeArrowheads="1"/>
        </xdr:cNvSpPr>
      </xdr:nvSpPr>
      <xdr:spPr bwMode="auto">
        <a:xfrm>
          <a:off x="3076575" y="50196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35</xdr:row>
      <xdr:rowOff>0</xdr:rowOff>
    </xdr:from>
    <xdr:to>
      <xdr:col>3</xdr:col>
      <xdr:colOff>400050</xdr:colOff>
      <xdr:row>36</xdr:row>
      <xdr:rowOff>28575</xdr:rowOff>
    </xdr:to>
    <xdr:sp macro="" textlink="">
      <xdr:nvSpPr>
        <xdr:cNvPr id="2070645" name="Text Box 963"/>
        <xdr:cNvSpPr txBox="1">
          <a:spLocks noChangeArrowheads="1"/>
        </xdr:cNvSpPr>
      </xdr:nvSpPr>
      <xdr:spPr bwMode="auto">
        <a:xfrm>
          <a:off x="3076575" y="50196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35</xdr:row>
      <xdr:rowOff>0</xdr:rowOff>
    </xdr:from>
    <xdr:to>
      <xdr:col>3</xdr:col>
      <xdr:colOff>400050</xdr:colOff>
      <xdr:row>36</xdr:row>
      <xdr:rowOff>38100</xdr:rowOff>
    </xdr:to>
    <xdr:sp macro="" textlink="">
      <xdr:nvSpPr>
        <xdr:cNvPr id="2070646" name="Text Box 964"/>
        <xdr:cNvSpPr txBox="1">
          <a:spLocks noChangeArrowheads="1"/>
        </xdr:cNvSpPr>
      </xdr:nvSpPr>
      <xdr:spPr bwMode="auto">
        <a:xfrm>
          <a:off x="3076575" y="50196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35</xdr:row>
      <xdr:rowOff>0</xdr:rowOff>
    </xdr:from>
    <xdr:to>
      <xdr:col>3</xdr:col>
      <xdr:colOff>400050</xdr:colOff>
      <xdr:row>36</xdr:row>
      <xdr:rowOff>28575</xdr:rowOff>
    </xdr:to>
    <xdr:sp macro="" textlink="">
      <xdr:nvSpPr>
        <xdr:cNvPr id="2070647" name="Text Box 967"/>
        <xdr:cNvSpPr txBox="1">
          <a:spLocks noChangeArrowheads="1"/>
        </xdr:cNvSpPr>
      </xdr:nvSpPr>
      <xdr:spPr bwMode="auto">
        <a:xfrm>
          <a:off x="3076575" y="50196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35</xdr:row>
      <xdr:rowOff>85725</xdr:rowOff>
    </xdr:from>
    <xdr:to>
      <xdr:col>3</xdr:col>
      <xdr:colOff>400050</xdr:colOff>
      <xdr:row>36</xdr:row>
      <xdr:rowOff>114300</xdr:rowOff>
    </xdr:to>
    <xdr:sp macro="" textlink="">
      <xdr:nvSpPr>
        <xdr:cNvPr id="2070648" name="Text Box 968"/>
        <xdr:cNvSpPr txBox="1">
          <a:spLocks noChangeArrowheads="1"/>
        </xdr:cNvSpPr>
      </xdr:nvSpPr>
      <xdr:spPr bwMode="auto">
        <a:xfrm>
          <a:off x="3076575" y="51054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35</xdr:row>
      <xdr:rowOff>0</xdr:rowOff>
    </xdr:from>
    <xdr:to>
      <xdr:col>3</xdr:col>
      <xdr:colOff>400050</xdr:colOff>
      <xdr:row>36</xdr:row>
      <xdr:rowOff>28575</xdr:rowOff>
    </xdr:to>
    <xdr:sp macro="" textlink="">
      <xdr:nvSpPr>
        <xdr:cNvPr id="2070649" name="Text Box 969"/>
        <xdr:cNvSpPr txBox="1">
          <a:spLocks noChangeArrowheads="1"/>
        </xdr:cNvSpPr>
      </xdr:nvSpPr>
      <xdr:spPr bwMode="auto">
        <a:xfrm>
          <a:off x="3076575" y="50196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35</xdr:row>
      <xdr:rowOff>85725</xdr:rowOff>
    </xdr:from>
    <xdr:to>
      <xdr:col>3</xdr:col>
      <xdr:colOff>400050</xdr:colOff>
      <xdr:row>36</xdr:row>
      <xdr:rowOff>114300</xdr:rowOff>
    </xdr:to>
    <xdr:sp macro="" textlink="">
      <xdr:nvSpPr>
        <xdr:cNvPr id="2070650" name="Text Box 970"/>
        <xdr:cNvSpPr txBox="1">
          <a:spLocks noChangeArrowheads="1"/>
        </xdr:cNvSpPr>
      </xdr:nvSpPr>
      <xdr:spPr bwMode="auto">
        <a:xfrm>
          <a:off x="3076575" y="51054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36</xdr:row>
      <xdr:rowOff>0</xdr:rowOff>
    </xdr:from>
    <xdr:to>
      <xdr:col>3</xdr:col>
      <xdr:colOff>400050</xdr:colOff>
      <xdr:row>37</xdr:row>
      <xdr:rowOff>28575</xdr:rowOff>
    </xdr:to>
    <xdr:sp macro="" textlink="">
      <xdr:nvSpPr>
        <xdr:cNvPr id="2070651" name="Text Box 8"/>
        <xdr:cNvSpPr txBox="1">
          <a:spLocks noChangeArrowheads="1"/>
        </xdr:cNvSpPr>
      </xdr:nvSpPr>
      <xdr:spPr bwMode="auto">
        <a:xfrm>
          <a:off x="3076575" y="51816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36</xdr:row>
      <xdr:rowOff>0</xdr:rowOff>
    </xdr:from>
    <xdr:to>
      <xdr:col>3</xdr:col>
      <xdr:colOff>400050</xdr:colOff>
      <xdr:row>37</xdr:row>
      <xdr:rowOff>38100</xdr:rowOff>
    </xdr:to>
    <xdr:sp macro="" textlink="">
      <xdr:nvSpPr>
        <xdr:cNvPr id="2070652" name="Text Box 9"/>
        <xdr:cNvSpPr txBox="1">
          <a:spLocks noChangeArrowheads="1"/>
        </xdr:cNvSpPr>
      </xdr:nvSpPr>
      <xdr:spPr bwMode="auto">
        <a:xfrm>
          <a:off x="3076575" y="5181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36</xdr:row>
      <xdr:rowOff>0</xdr:rowOff>
    </xdr:from>
    <xdr:to>
      <xdr:col>3</xdr:col>
      <xdr:colOff>400050</xdr:colOff>
      <xdr:row>37</xdr:row>
      <xdr:rowOff>28575</xdr:rowOff>
    </xdr:to>
    <xdr:sp macro="" textlink="">
      <xdr:nvSpPr>
        <xdr:cNvPr id="2070653" name="Text Box 38"/>
        <xdr:cNvSpPr txBox="1">
          <a:spLocks noChangeArrowheads="1"/>
        </xdr:cNvSpPr>
      </xdr:nvSpPr>
      <xdr:spPr bwMode="auto">
        <a:xfrm>
          <a:off x="3076575" y="51816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36</xdr:row>
      <xdr:rowOff>0</xdr:rowOff>
    </xdr:from>
    <xdr:to>
      <xdr:col>3</xdr:col>
      <xdr:colOff>400050</xdr:colOff>
      <xdr:row>37</xdr:row>
      <xdr:rowOff>38100</xdr:rowOff>
    </xdr:to>
    <xdr:sp macro="" textlink="">
      <xdr:nvSpPr>
        <xdr:cNvPr id="2070654" name="Text Box 39"/>
        <xdr:cNvSpPr txBox="1">
          <a:spLocks noChangeArrowheads="1"/>
        </xdr:cNvSpPr>
      </xdr:nvSpPr>
      <xdr:spPr bwMode="auto">
        <a:xfrm>
          <a:off x="3076575" y="5181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36</xdr:row>
      <xdr:rowOff>0</xdr:rowOff>
    </xdr:from>
    <xdr:to>
      <xdr:col>3</xdr:col>
      <xdr:colOff>400050</xdr:colOff>
      <xdr:row>37</xdr:row>
      <xdr:rowOff>28575</xdr:rowOff>
    </xdr:to>
    <xdr:sp macro="" textlink="">
      <xdr:nvSpPr>
        <xdr:cNvPr id="2070655" name="Text Box 46"/>
        <xdr:cNvSpPr txBox="1">
          <a:spLocks noChangeArrowheads="1"/>
        </xdr:cNvSpPr>
      </xdr:nvSpPr>
      <xdr:spPr bwMode="auto">
        <a:xfrm>
          <a:off x="3076575" y="51816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36</xdr:row>
      <xdr:rowOff>0</xdr:rowOff>
    </xdr:from>
    <xdr:to>
      <xdr:col>3</xdr:col>
      <xdr:colOff>400050</xdr:colOff>
      <xdr:row>37</xdr:row>
      <xdr:rowOff>38100</xdr:rowOff>
    </xdr:to>
    <xdr:sp macro="" textlink="">
      <xdr:nvSpPr>
        <xdr:cNvPr id="2070656" name="Text Box 47"/>
        <xdr:cNvSpPr txBox="1">
          <a:spLocks noChangeArrowheads="1"/>
        </xdr:cNvSpPr>
      </xdr:nvSpPr>
      <xdr:spPr bwMode="auto">
        <a:xfrm>
          <a:off x="3076575" y="5181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36</xdr:row>
      <xdr:rowOff>0</xdr:rowOff>
    </xdr:from>
    <xdr:to>
      <xdr:col>3</xdr:col>
      <xdr:colOff>400050</xdr:colOff>
      <xdr:row>37</xdr:row>
      <xdr:rowOff>28575</xdr:rowOff>
    </xdr:to>
    <xdr:sp macro="" textlink="">
      <xdr:nvSpPr>
        <xdr:cNvPr id="2070657" name="Text Box 157"/>
        <xdr:cNvSpPr txBox="1">
          <a:spLocks noChangeArrowheads="1"/>
        </xdr:cNvSpPr>
      </xdr:nvSpPr>
      <xdr:spPr bwMode="auto">
        <a:xfrm>
          <a:off x="3076575" y="51816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36</xdr:row>
      <xdr:rowOff>0</xdr:rowOff>
    </xdr:from>
    <xdr:to>
      <xdr:col>3</xdr:col>
      <xdr:colOff>400050</xdr:colOff>
      <xdr:row>37</xdr:row>
      <xdr:rowOff>38100</xdr:rowOff>
    </xdr:to>
    <xdr:sp macro="" textlink="">
      <xdr:nvSpPr>
        <xdr:cNvPr id="2070658" name="Text Box 158"/>
        <xdr:cNvSpPr txBox="1">
          <a:spLocks noChangeArrowheads="1"/>
        </xdr:cNvSpPr>
      </xdr:nvSpPr>
      <xdr:spPr bwMode="auto">
        <a:xfrm>
          <a:off x="3076575" y="5181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37</xdr:row>
      <xdr:rowOff>0</xdr:rowOff>
    </xdr:from>
    <xdr:to>
      <xdr:col>3</xdr:col>
      <xdr:colOff>400050</xdr:colOff>
      <xdr:row>37</xdr:row>
      <xdr:rowOff>161925</xdr:rowOff>
    </xdr:to>
    <xdr:sp macro="" textlink="">
      <xdr:nvSpPr>
        <xdr:cNvPr id="2070659" name="Text Box 188"/>
        <xdr:cNvSpPr txBox="1">
          <a:spLocks noChangeArrowheads="1"/>
        </xdr:cNvSpPr>
      </xdr:nvSpPr>
      <xdr:spPr bwMode="auto">
        <a:xfrm>
          <a:off x="3076575" y="53435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37</xdr:row>
      <xdr:rowOff>85725</xdr:rowOff>
    </xdr:from>
    <xdr:to>
      <xdr:col>3</xdr:col>
      <xdr:colOff>400050</xdr:colOff>
      <xdr:row>37</xdr:row>
      <xdr:rowOff>161925</xdr:rowOff>
    </xdr:to>
    <xdr:sp macro="" textlink="">
      <xdr:nvSpPr>
        <xdr:cNvPr id="2070660" name="Text Box 189"/>
        <xdr:cNvSpPr txBox="1">
          <a:spLocks noChangeArrowheads="1"/>
        </xdr:cNvSpPr>
      </xdr:nvSpPr>
      <xdr:spPr bwMode="auto">
        <a:xfrm>
          <a:off x="3076575" y="54292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37</xdr:row>
      <xdr:rowOff>0</xdr:rowOff>
    </xdr:from>
    <xdr:to>
      <xdr:col>3</xdr:col>
      <xdr:colOff>400050</xdr:colOff>
      <xdr:row>37</xdr:row>
      <xdr:rowOff>161925</xdr:rowOff>
    </xdr:to>
    <xdr:sp macro="" textlink="">
      <xdr:nvSpPr>
        <xdr:cNvPr id="2070661" name="Text Box 190"/>
        <xdr:cNvSpPr txBox="1">
          <a:spLocks noChangeArrowheads="1"/>
        </xdr:cNvSpPr>
      </xdr:nvSpPr>
      <xdr:spPr bwMode="auto">
        <a:xfrm>
          <a:off x="3076575" y="53435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37</xdr:row>
      <xdr:rowOff>85725</xdr:rowOff>
    </xdr:from>
    <xdr:to>
      <xdr:col>3</xdr:col>
      <xdr:colOff>400050</xdr:colOff>
      <xdr:row>37</xdr:row>
      <xdr:rowOff>161925</xdr:rowOff>
    </xdr:to>
    <xdr:sp macro="" textlink="">
      <xdr:nvSpPr>
        <xdr:cNvPr id="2070662" name="Text Box 191"/>
        <xdr:cNvSpPr txBox="1">
          <a:spLocks noChangeArrowheads="1"/>
        </xdr:cNvSpPr>
      </xdr:nvSpPr>
      <xdr:spPr bwMode="auto">
        <a:xfrm>
          <a:off x="3076575" y="54292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37</xdr:row>
      <xdr:rowOff>0</xdr:rowOff>
    </xdr:from>
    <xdr:to>
      <xdr:col>3</xdr:col>
      <xdr:colOff>400050</xdr:colOff>
      <xdr:row>37</xdr:row>
      <xdr:rowOff>161925</xdr:rowOff>
    </xdr:to>
    <xdr:sp macro="" textlink="">
      <xdr:nvSpPr>
        <xdr:cNvPr id="2070663" name="Text Box 192"/>
        <xdr:cNvSpPr txBox="1">
          <a:spLocks noChangeArrowheads="1"/>
        </xdr:cNvSpPr>
      </xdr:nvSpPr>
      <xdr:spPr bwMode="auto">
        <a:xfrm>
          <a:off x="3076575" y="53435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37</xdr:row>
      <xdr:rowOff>85725</xdr:rowOff>
    </xdr:from>
    <xdr:to>
      <xdr:col>3</xdr:col>
      <xdr:colOff>400050</xdr:colOff>
      <xdr:row>37</xdr:row>
      <xdr:rowOff>161925</xdr:rowOff>
    </xdr:to>
    <xdr:sp macro="" textlink="">
      <xdr:nvSpPr>
        <xdr:cNvPr id="2070664" name="Text Box 193"/>
        <xdr:cNvSpPr txBox="1">
          <a:spLocks noChangeArrowheads="1"/>
        </xdr:cNvSpPr>
      </xdr:nvSpPr>
      <xdr:spPr bwMode="auto">
        <a:xfrm>
          <a:off x="3076575" y="54292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37</xdr:row>
      <xdr:rowOff>0</xdr:rowOff>
    </xdr:from>
    <xdr:to>
      <xdr:col>3</xdr:col>
      <xdr:colOff>400050</xdr:colOff>
      <xdr:row>37</xdr:row>
      <xdr:rowOff>161925</xdr:rowOff>
    </xdr:to>
    <xdr:sp macro="" textlink="">
      <xdr:nvSpPr>
        <xdr:cNvPr id="2070665" name="Text Box 194"/>
        <xdr:cNvSpPr txBox="1">
          <a:spLocks noChangeArrowheads="1"/>
        </xdr:cNvSpPr>
      </xdr:nvSpPr>
      <xdr:spPr bwMode="auto">
        <a:xfrm>
          <a:off x="3076575" y="53435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37</xdr:row>
      <xdr:rowOff>85725</xdr:rowOff>
    </xdr:from>
    <xdr:to>
      <xdr:col>3</xdr:col>
      <xdr:colOff>400050</xdr:colOff>
      <xdr:row>37</xdr:row>
      <xdr:rowOff>161925</xdr:rowOff>
    </xdr:to>
    <xdr:sp macro="" textlink="">
      <xdr:nvSpPr>
        <xdr:cNvPr id="2070666" name="Text Box 195"/>
        <xdr:cNvSpPr txBox="1">
          <a:spLocks noChangeArrowheads="1"/>
        </xdr:cNvSpPr>
      </xdr:nvSpPr>
      <xdr:spPr bwMode="auto">
        <a:xfrm>
          <a:off x="3076575" y="54292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36</xdr:row>
      <xdr:rowOff>0</xdr:rowOff>
    </xdr:from>
    <xdr:to>
      <xdr:col>3</xdr:col>
      <xdr:colOff>400050</xdr:colOff>
      <xdr:row>37</xdr:row>
      <xdr:rowOff>28575</xdr:rowOff>
    </xdr:to>
    <xdr:sp macro="" textlink="">
      <xdr:nvSpPr>
        <xdr:cNvPr id="2070667" name="Text Box 230"/>
        <xdr:cNvSpPr txBox="1">
          <a:spLocks noChangeArrowheads="1"/>
        </xdr:cNvSpPr>
      </xdr:nvSpPr>
      <xdr:spPr bwMode="auto">
        <a:xfrm>
          <a:off x="3076575" y="51816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36</xdr:row>
      <xdr:rowOff>0</xdr:rowOff>
    </xdr:from>
    <xdr:to>
      <xdr:col>3</xdr:col>
      <xdr:colOff>400050</xdr:colOff>
      <xdr:row>37</xdr:row>
      <xdr:rowOff>38100</xdr:rowOff>
    </xdr:to>
    <xdr:sp macro="" textlink="">
      <xdr:nvSpPr>
        <xdr:cNvPr id="2070668" name="Text Box 231"/>
        <xdr:cNvSpPr txBox="1">
          <a:spLocks noChangeArrowheads="1"/>
        </xdr:cNvSpPr>
      </xdr:nvSpPr>
      <xdr:spPr bwMode="auto">
        <a:xfrm>
          <a:off x="3076575" y="5181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36</xdr:row>
      <xdr:rowOff>0</xdr:rowOff>
    </xdr:from>
    <xdr:to>
      <xdr:col>3</xdr:col>
      <xdr:colOff>400050</xdr:colOff>
      <xdr:row>37</xdr:row>
      <xdr:rowOff>28575</xdr:rowOff>
    </xdr:to>
    <xdr:sp macro="" textlink="">
      <xdr:nvSpPr>
        <xdr:cNvPr id="2070669" name="Text Box 453"/>
        <xdr:cNvSpPr txBox="1">
          <a:spLocks noChangeArrowheads="1"/>
        </xdr:cNvSpPr>
      </xdr:nvSpPr>
      <xdr:spPr bwMode="auto">
        <a:xfrm>
          <a:off x="3076575" y="51816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36</xdr:row>
      <xdr:rowOff>85725</xdr:rowOff>
    </xdr:from>
    <xdr:to>
      <xdr:col>3</xdr:col>
      <xdr:colOff>400050</xdr:colOff>
      <xdr:row>37</xdr:row>
      <xdr:rowOff>114300</xdr:rowOff>
    </xdr:to>
    <xdr:sp macro="" textlink="">
      <xdr:nvSpPr>
        <xdr:cNvPr id="2070670" name="Text Box 454"/>
        <xdr:cNvSpPr txBox="1">
          <a:spLocks noChangeArrowheads="1"/>
        </xdr:cNvSpPr>
      </xdr:nvSpPr>
      <xdr:spPr bwMode="auto">
        <a:xfrm>
          <a:off x="3076575" y="52673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36</xdr:row>
      <xdr:rowOff>0</xdr:rowOff>
    </xdr:from>
    <xdr:to>
      <xdr:col>3</xdr:col>
      <xdr:colOff>400050</xdr:colOff>
      <xdr:row>37</xdr:row>
      <xdr:rowOff>28575</xdr:rowOff>
    </xdr:to>
    <xdr:sp macro="" textlink="">
      <xdr:nvSpPr>
        <xdr:cNvPr id="2070671" name="Text Box 455"/>
        <xdr:cNvSpPr txBox="1">
          <a:spLocks noChangeArrowheads="1"/>
        </xdr:cNvSpPr>
      </xdr:nvSpPr>
      <xdr:spPr bwMode="auto">
        <a:xfrm>
          <a:off x="3076575" y="51816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36</xdr:row>
      <xdr:rowOff>85725</xdr:rowOff>
    </xdr:from>
    <xdr:to>
      <xdr:col>3</xdr:col>
      <xdr:colOff>400050</xdr:colOff>
      <xdr:row>37</xdr:row>
      <xdr:rowOff>114300</xdr:rowOff>
    </xdr:to>
    <xdr:sp macro="" textlink="">
      <xdr:nvSpPr>
        <xdr:cNvPr id="2070672" name="Text Box 456"/>
        <xdr:cNvSpPr txBox="1">
          <a:spLocks noChangeArrowheads="1"/>
        </xdr:cNvSpPr>
      </xdr:nvSpPr>
      <xdr:spPr bwMode="auto">
        <a:xfrm>
          <a:off x="3076575" y="52673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36</xdr:row>
      <xdr:rowOff>0</xdr:rowOff>
    </xdr:from>
    <xdr:to>
      <xdr:col>3</xdr:col>
      <xdr:colOff>400050</xdr:colOff>
      <xdr:row>37</xdr:row>
      <xdr:rowOff>28575</xdr:rowOff>
    </xdr:to>
    <xdr:sp macro="" textlink="">
      <xdr:nvSpPr>
        <xdr:cNvPr id="2070673" name="Text Box 457"/>
        <xdr:cNvSpPr txBox="1">
          <a:spLocks noChangeArrowheads="1"/>
        </xdr:cNvSpPr>
      </xdr:nvSpPr>
      <xdr:spPr bwMode="auto">
        <a:xfrm>
          <a:off x="3076575" y="51816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36</xdr:row>
      <xdr:rowOff>85725</xdr:rowOff>
    </xdr:from>
    <xdr:to>
      <xdr:col>3</xdr:col>
      <xdr:colOff>400050</xdr:colOff>
      <xdr:row>37</xdr:row>
      <xdr:rowOff>114300</xdr:rowOff>
    </xdr:to>
    <xdr:sp macro="" textlink="">
      <xdr:nvSpPr>
        <xdr:cNvPr id="2070674" name="Text Box 458"/>
        <xdr:cNvSpPr txBox="1">
          <a:spLocks noChangeArrowheads="1"/>
        </xdr:cNvSpPr>
      </xdr:nvSpPr>
      <xdr:spPr bwMode="auto">
        <a:xfrm>
          <a:off x="3076575" y="52673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36</xdr:row>
      <xdr:rowOff>0</xdr:rowOff>
    </xdr:from>
    <xdr:to>
      <xdr:col>3</xdr:col>
      <xdr:colOff>400050</xdr:colOff>
      <xdr:row>37</xdr:row>
      <xdr:rowOff>28575</xdr:rowOff>
    </xdr:to>
    <xdr:sp macro="" textlink="">
      <xdr:nvSpPr>
        <xdr:cNvPr id="2070675" name="Text Box 459"/>
        <xdr:cNvSpPr txBox="1">
          <a:spLocks noChangeArrowheads="1"/>
        </xdr:cNvSpPr>
      </xdr:nvSpPr>
      <xdr:spPr bwMode="auto">
        <a:xfrm>
          <a:off x="3076575" y="51816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36</xdr:row>
      <xdr:rowOff>85725</xdr:rowOff>
    </xdr:from>
    <xdr:to>
      <xdr:col>3</xdr:col>
      <xdr:colOff>400050</xdr:colOff>
      <xdr:row>37</xdr:row>
      <xdr:rowOff>114300</xdr:rowOff>
    </xdr:to>
    <xdr:sp macro="" textlink="">
      <xdr:nvSpPr>
        <xdr:cNvPr id="2070676" name="Text Box 460"/>
        <xdr:cNvSpPr txBox="1">
          <a:spLocks noChangeArrowheads="1"/>
        </xdr:cNvSpPr>
      </xdr:nvSpPr>
      <xdr:spPr bwMode="auto">
        <a:xfrm>
          <a:off x="3076575" y="52673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36</xdr:row>
      <xdr:rowOff>0</xdr:rowOff>
    </xdr:from>
    <xdr:to>
      <xdr:col>3</xdr:col>
      <xdr:colOff>400050</xdr:colOff>
      <xdr:row>37</xdr:row>
      <xdr:rowOff>28575</xdr:rowOff>
    </xdr:to>
    <xdr:sp macro="" textlink="">
      <xdr:nvSpPr>
        <xdr:cNvPr id="2070677" name="Text Box 461"/>
        <xdr:cNvSpPr txBox="1">
          <a:spLocks noChangeArrowheads="1"/>
        </xdr:cNvSpPr>
      </xdr:nvSpPr>
      <xdr:spPr bwMode="auto">
        <a:xfrm>
          <a:off x="3076575" y="51816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36</xdr:row>
      <xdr:rowOff>0</xdr:rowOff>
    </xdr:from>
    <xdr:to>
      <xdr:col>3</xdr:col>
      <xdr:colOff>400050</xdr:colOff>
      <xdr:row>37</xdr:row>
      <xdr:rowOff>28575</xdr:rowOff>
    </xdr:to>
    <xdr:sp macro="" textlink="">
      <xdr:nvSpPr>
        <xdr:cNvPr id="2070678" name="Text Box 528"/>
        <xdr:cNvSpPr txBox="1">
          <a:spLocks noChangeArrowheads="1"/>
        </xdr:cNvSpPr>
      </xdr:nvSpPr>
      <xdr:spPr bwMode="auto">
        <a:xfrm>
          <a:off x="3076575" y="51816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36</xdr:row>
      <xdr:rowOff>0</xdr:rowOff>
    </xdr:from>
    <xdr:to>
      <xdr:col>3</xdr:col>
      <xdr:colOff>400050</xdr:colOff>
      <xdr:row>37</xdr:row>
      <xdr:rowOff>38100</xdr:rowOff>
    </xdr:to>
    <xdr:sp macro="" textlink="">
      <xdr:nvSpPr>
        <xdr:cNvPr id="2070679" name="Text Box 529"/>
        <xdr:cNvSpPr txBox="1">
          <a:spLocks noChangeArrowheads="1"/>
        </xdr:cNvSpPr>
      </xdr:nvSpPr>
      <xdr:spPr bwMode="auto">
        <a:xfrm>
          <a:off x="3076575" y="5181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36</xdr:row>
      <xdr:rowOff>0</xdr:rowOff>
    </xdr:from>
    <xdr:to>
      <xdr:col>3</xdr:col>
      <xdr:colOff>400050</xdr:colOff>
      <xdr:row>37</xdr:row>
      <xdr:rowOff>28575</xdr:rowOff>
    </xdr:to>
    <xdr:sp macro="" textlink="">
      <xdr:nvSpPr>
        <xdr:cNvPr id="2070680" name="Text Box 532"/>
        <xdr:cNvSpPr txBox="1">
          <a:spLocks noChangeArrowheads="1"/>
        </xdr:cNvSpPr>
      </xdr:nvSpPr>
      <xdr:spPr bwMode="auto">
        <a:xfrm>
          <a:off x="3076575" y="51816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36</xdr:row>
      <xdr:rowOff>85725</xdr:rowOff>
    </xdr:from>
    <xdr:to>
      <xdr:col>3</xdr:col>
      <xdr:colOff>400050</xdr:colOff>
      <xdr:row>37</xdr:row>
      <xdr:rowOff>114300</xdr:rowOff>
    </xdr:to>
    <xdr:sp macro="" textlink="">
      <xdr:nvSpPr>
        <xdr:cNvPr id="2070681" name="Text Box 533"/>
        <xdr:cNvSpPr txBox="1">
          <a:spLocks noChangeArrowheads="1"/>
        </xdr:cNvSpPr>
      </xdr:nvSpPr>
      <xdr:spPr bwMode="auto">
        <a:xfrm>
          <a:off x="3076575" y="52673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36</xdr:row>
      <xdr:rowOff>0</xdr:rowOff>
    </xdr:from>
    <xdr:to>
      <xdr:col>3</xdr:col>
      <xdr:colOff>400050</xdr:colOff>
      <xdr:row>37</xdr:row>
      <xdr:rowOff>28575</xdr:rowOff>
    </xdr:to>
    <xdr:sp macro="" textlink="">
      <xdr:nvSpPr>
        <xdr:cNvPr id="2070682" name="Text Box 534"/>
        <xdr:cNvSpPr txBox="1">
          <a:spLocks noChangeArrowheads="1"/>
        </xdr:cNvSpPr>
      </xdr:nvSpPr>
      <xdr:spPr bwMode="auto">
        <a:xfrm>
          <a:off x="3076575" y="51816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36</xdr:row>
      <xdr:rowOff>85725</xdr:rowOff>
    </xdr:from>
    <xdr:to>
      <xdr:col>3</xdr:col>
      <xdr:colOff>400050</xdr:colOff>
      <xdr:row>37</xdr:row>
      <xdr:rowOff>114300</xdr:rowOff>
    </xdr:to>
    <xdr:sp macro="" textlink="">
      <xdr:nvSpPr>
        <xdr:cNvPr id="2070683" name="Text Box 535"/>
        <xdr:cNvSpPr txBox="1">
          <a:spLocks noChangeArrowheads="1"/>
        </xdr:cNvSpPr>
      </xdr:nvSpPr>
      <xdr:spPr bwMode="auto">
        <a:xfrm>
          <a:off x="3076575" y="52673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36</xdr:row>
      <xdr:rowOff>0</xdr:rowOff>
    </xdr:from>
    <xdr:to>
      <xdr:col>3</xdr:col>
      <xdr:colOff>400050</xdr:colOff>
      <xdr:row>37</xdr:row>
      <xdr:rowOff>28575</xdr:rowOff>
    </xdr:to>
    <xdr:sp macro="" textlink="">
      <xdr:nvSpPr>
        <xdr:cNvPr id="2070684" name="Text Box 931"/>
        <xdr:cNvSpPr txBox="1">
          <a:spLocks noChangeArrowheads="1"/>
        </xdr:cNvSpPr>
      </xdr:nvSpPr>
      <xdr:spPr bwMode="auto">
        <a:xfrm>
          <a:off x="3076575" y="51816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36</xdr:row>
      <xdr:rowOff>0</xdr:rowOff>
    </xdr:from>
    <xdr:to>
      <xdr:col>3</xdr:col>
      <xdr:colOff>400050</xdr:colOff>
      <xdr:row>37</xdr:row>
      <xdr:rowOff>38100</xdr:rowOff>
    </xdr:to>
    <xdr:sp macro="" textlink="">
      <xdr:nvSpPr>
        <xdr:cNvPr id="2070685" name="Text Box 932"/>
        <xdr:cNvSpPr txBox="1">
          <a:spLocks noChangeArrowheads="1"/>
        </xdr:cNvSpPr>
      </xdr:nvSpPr>
      <xdr:spPr bwMode="auto">
        <a:xfrm>
          <a:off x="3076575" y="5181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36</xdr:row>
      <xdr:rowOff>0</xdr:rowOff>
    </xdr:from>
    <xdr:to>
      <xdr:col>3</xdr:col>
      <xdr:colOff>400050</xdr:colOff>
      <xdr:row>37</xdr:row>
      <xdr:rowOff>28575</xdr:rowOff>
    </xdr:to>
    <xdr:sp macro="" textlink="">
      <xdr:nvSpPr>
        <xdr:cNvPr id="2070686" name="Text Box 933"/>
        <xdr:cNvSpPr txBox="1">
          <a:spLocks noChangeArrowheads="1"/>
        </xdr:cNvSpPr>
      </xdr:nvSpPr>
      <xdr:spPr bwMode="auto">
        <a:xfrm>
          <a:off x="3076575" y="51816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36</xdr:row>
      <xdr:rowOff>0</xdr:rowOff>
    </xdr:from>
    <xdr:to>
      <xdr:col>3</xdr:col>
      <xdr:colOff>400050</xdr:colOff>
      <xdr:row>37</xdr:row>
      <xdr:rowOff>38100</xdr:rowOff>
    </xdr:to>
    <xdr:sp macro="" textlink="">
      <xdr:nvSpPr>
        <xdr:cNvPr id="2070687" name="Text Box 934"/>
        <xdr:cNvSpPr txBox="1">
          <a:spLocks noChangeArrowheads="1"/>
        </xdr:cNvSpPr>
      </xdr:nvSpPr>
      <xdr:spPr bwMode="auto">
        <a:xfrm>
          <a:off x="3076575" y="5181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36</xdr:row>
      <xdr:rowOff>0</xdr:rowOff>
    </xdr:from>
    <xdr:to>
      <xdr:col>3</xdr:col>
      <xdr:colOff>400050</xdr:colOff>
      <xdr:row>37</xdr:row>
      <xdr:rowOff>28575</xdr:rowOff>
    </xdr:to>
    <xdr:sp macro="" textlink="">
      <xdr:nvSpPr>
        <xdr:cNvPr id="2070688" name="Text Box 935"/>
        <xdr:cNvSpPr txBox="1">
          <a:spLocks noChangeArrowheads="1"/>
        </xdr:cNvSpPr>
      </xdr:nvSpPr>
      <xdr:spPr bwMode="auto">
        <a:xfrm>
          <a:off x="3076575" y="51816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36</xdr:row>
      <xdr:rowOff>0</xdr:rowOff>
    </xdr:from>
    <xdr:to>
      <xdr:col>3</xdr:col>
      <xdr:colOff>400050</xdr:colOff>
      <xdr:row>37</xdr:row>
      <xdr:rowOff>38100</xdr:rowOff>
    </xdr:to>
    <xdr:sp macro="" textlink="">
      <xdr:nvSpPr>
        <xdr:cNvPr id="2070689" name="Text Box 936"/>
        <xdr:cNvSpPr txBox="1">
          <a:spLocks noChangeArrowheads="1"/>
        </xdr:cNvSpPr>
      </xdr:nvSpPr>
      <xdr:spPr bwMode="auto">
        <a:xfrm>
          <a:off x="3076575" y="5181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36</xdr:row>
      <xdr:rowOff>0</xdr:rowOff>
    </xdr:from>
    <xdr:to>
      <xdr:col>3</xdr:col>
      <xdr:colOff>400050</xdr:colOff>
      <xdr:row>37</xdr:row>
      <xdr:rowOff>28575</xdr:rowOff>
    </xdr:to>
    <xdr:sp macro="" textlink="">
      <xdr:nvSpPr>
        <xdr:cNvPr id="2070690" name="Text Box 937"/>
        <xdr:cNvSpPr txBox="1">
          <a:spLocks noChangeArrowheads="1"/>
        </xdr:cNvSpPr>
      </xdr:nvSpPr>
      <xdr:spPr bwMode="auto">
        <a:xfrm>
          <a:off x="3076575" y="51816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36</xdr:row>
      <xdr:rowOff>0</xdr:rowOff>
    </xdr:from>
    <xdr:to>
      <xdr:col>3</xdr:col>
      <xdr:colOff>400050</xdr:colOff>
      <xdr:row>37</xdr:row>
      <xdr:rowOff>38100</xdr:rowOff>
    </xdr:to>
    <xdr:sp macro="" textlink="">
      <xdr:nvSpPr>
        <xdr:cNvPr id="2070691" name="Text Box 938"/>
        <xdr:cNvSpPr txBox="1">
          <a:spLocks noChangeArrowheads="1"/>
        </xdr:cNvSpPr>
      </xdr:nvSpPr>
      <xdr:spPr bwMode="auto">
        <a:xfrm>
          <a:off x="3076575" y="5181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37</xdr:row>
      <xdr:rowOff>0</xdr:rowOff>
    </xdr:from>
    <xdr:to>
      <xdr:col>3</xdr:col>
      <xdr:colOff>400050</xdr:colOff>
      <xdr:row>37</xdr:row>
      <xdr:rowOff>161925</xdr:rowOff>
    </xdr:to>
    <xdr:sp macro="" textlink="">
      <xdr:nvSpPr>
        <xdr:cNvPr id="2070692" name="Text Box 941"/>
        <xdr:cNvSpPr txBox="1">
          <a:spLocks noChangeArrowheads="1"/>
        </xdr:cNvSpPr>
      </xdr:nvSpPr>
      <xdr:spPr bwMode="auto">
        <a:xfrm>
          <a:off x="3076575" y="53435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37</xdr:row>
      <xdr:rowOff>85725</xdr:rowOff>
    </xdr:from>
    <xdr:to>
      <xdr:col>3</xdr:col>
      <xdr:colOff>400050</xdr:colOff>
      <xdr:row>37</xdr:row>
      <xdr:rowOff>161925</xdr:rowOff>
    </xdr:to>
    <xdr:sp macro="" textlink="">
      <xdr:nvSpPr>
        <xdr:cNvPr id="2070693" name="Text Box 942"/>
        <xdr:cNvSpPr txBox="1">
          <a:spLocks noChangeArrowheads="1"/>
        </xdr:cNvSpPr>
      </xdr:nvSpPr>
      <xdr:spPr bwMode="auto">
        <a:xfrm>
          <a:off x="3076575" y="54292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37</xdr:row>
      <xdr:rowOff>0</xdr:rowOff>
    </xdr:from>
    <xdr:to>
      <xdr:col>3</xdr:col>
      <xdr:colOff>400050</xdr:colOff>
      <xdr:row>37</xdr:row>
      <xdr:rowOff>161925</xdr:rowOff>
    </xdr:to>
    <xdr:sp macro="" textlink="">
      <xdr:nvSpPr>
        <xdr:cNvPr id="2070694" name="Text Box 943"/>
        <xdr:cNvSpPr txBox="1">
          <a:spLocks noChangeArrowheads="1"/>
        </xdr:cNvSpPr>
      </xdr:nvSpPr>
      <xdr:spPr bwMode="auto">
        <a:xfrm>
          <a:off x="3076575" y="53435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37</xdr:row>
      <xdr:rowOff>85725</xdr:rowOff>
    </xdr:from>
    <xdr:to>
      <xdr:col>3</xdr:col>
      <xdr:colOff>400050</xdr:colOff>
      <xdr:row>37</xdr:row>
      <xdr:rowOff>161925</xdr:rowOff>
    </xdr:to>
    <xdr:sp macro="" textlink="">
      <xdr:nvSpPr>
        <xdr:cNvPr id="2070695" name="Text Box 944"/>
        <xdr:cNvSpPr txBox="1">
          <a:spLocks noChangeArrowheads="1"/>
        </xdr:cNvSpPr>
      </xdr:nvSpPr>
      <xdr:spPr bwMode="auto">
        <a:xfrm>
          <a:off x="3076575" y="54292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37</xdr:row>
      <xdr:rowOff>0</xdr:rowOff>
    </xdr:from>
    <xdr:to>
      <xdr:col>3</xdr:col>
      <xdr:colOff>400050</xdr:colOff>
      <xdr:row>37</xdr:row>
      <xdr:rowOff>161925</xdr:rowOff>
    </xdr:to>
    <xdr:sp macro="" textlink="">
      <xdr:nvSpPr>
        <xdr:cNvPr id="2070696" name="Text Box 945"/>
        <xdr:cNvSpPr txBox="1">
          <a:spLocks noChangeArrowheads="1"/>
        </xdr:cNvSpPr>
      </xdr:nvSpPr>
      <xdr:spPr bwMode="auto">
        <a:xfrm>
          <a:off x="3076575" y="53435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37</xdr:row>
      <xdr:rowOff>85725</xdr:rowOff>
    </xdr:from>
    <xdr:to>
      <xdr:col>3</xdr:col>
      <xdr:colOff>400050</xdr:colOff>
      <xdr:row>37</xdr:row>
      <xdr:rowOff>161925</xdr:rowOff>
    </xdr:to>
    <xdr:sp macro="" textlink="">
      <xdr:nvSpPr>
        <xdr:cNvPr id="2070697" name="Text Box 946"/>
        <xdr:cNvSpPr txBox="1">
          <a:spLocks noChangeArrowheads="1"/>
        </xdr:cNvSpPr>
      </xdr:nvSpPr>
      <xdr:spPr bwMode="auto">
        <a:xfrm>
          <a:off x="3076575" y="54292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37</xdr:row>
      <xdr:rowOff>0</xdr:rowOff>
    </xdr:from>
    <xdr:to>
      <xdr:col>3</xdr:col>
      <xdr:colOff>400050</xdr:colOff>
      <xdr:row>37</xdr:row>
      <xdr:rowOff>161925</xdr:rowOff>
    </xdr:to>
    <xdr:sp macro="" textlink="">
      <xdr:nvSpPr>
        <xdr:cNvPr id="2070698" name="Text Box 947"/>
        <xdr:cNvSpPr txBox="1">
          <a:spLocks noChangeArrowheads="1"/>
        </xdr:cNvSpPr>
      </xdr:nvSpPr>
      <xdr:spPr bwMode="auto">
        <a:xfrm>
          <a:off x="3076575" y="53435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37</xdr:row>
      <xdr:rowOff>85725</xdr:rowOff>
    </xdr:from>
    <xdr:to>
      <xdr:col>3</xdr:col>
      <xdr:colOff>400050</xdr:colOff>
      <xdr:row>37</xdr:row>
      <xdr:rowOff>161925</xdr:rowOff>
    </xdr:to>
    <xdr:sp macro="" textlink="">
      <xdr:nvSpPr>
        <xdr:cNvPr id="2070699" name="Text Box 948"/>
        <xdr:cNvSpPr txBox="1">
          <a:spLocks noChangeArrowheads="1"/>
        </xdr:cNvSpPr>
      </xdr:nvSpPr>
      <xdr:spPr bwMode="auto">
        <a:xfrm>
          <a:off x="3076575" y="5429250"/>
          <a:ext cx="104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36</xdr:row>
      <xdr:rowOff>0</xdr:rowOff>
    </xdr:from>
    <xdr:to>
      <xdr:col>3</xdr:col>
      <xdr:colOff>400050</xdr:colOff>
      <xdr:row>37</xdr:row>
      <xdr:rowOff>28575</xdr:rowOff>
    </xdr:to>
    <xdr:sp macro="" textlink="">
      <xdr:nvSpPr>
        <xdr:cNvPr id="2070700" name="Text Box 949"/>
        <xdr:cNvSpPr txBox="1">
          <a:spLocks noChangeArrowheads="1"/>
        </xdr:cNvSpPr>
      </xdr:nvSpPr>
      <xdr:spPr bwMode="auto">
        <a:xfrm>
          <a:off x="3076575" y="51816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36</xdr:row>
      <xdr:rowOff>0</xdr:rowOff>
    </xdr:from>
    <xdr:to>
      <xdr:col>3</xdr:col>
      <xdr:colOff>400050</xdr:colOff>
      <xdr:row>37</xdr:row>
      <xdr:rowOff>38100</xdr:rowOff>
    </xdr:to>
    <xdr:sp macro="" textlink="">
      <xdr:nvSpPr>
        <xdr:cNvPr id="2070701" name="Text Box 950"/>
        <xdr:cNvSpPr txBox="1">
          <a:spLocks noChangeArrowheads="1"/>
        </xdr:cNvSpPr>
      </xdr:nvSpPr>
      <xdr:spPr bwMode="auto">
        <a:xfrm>
          <a:off x="3076575" y="5181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36</xdr:row>
      <xdr:rowOff>0</xdr:rowOff>
    </xdr:from>
    <xdr:to>
      <xdr:col>3</xdr:col>
      <xdr:colOff>400050</xdr:colOff>
      <xdr:row>37</xdr:row>
      <xdr:rowOff>28575</xdr:rowOff>
    </xdr:to>
    <xdr:sp macro="" textlink="">
      <xdr:nvSpPr>
        <xdr:cNvPr id="2070702" name="Text Box 953"/>
        <xdr:cNvSpPr txBox="1">
          <a:spLocks noChangeArrowheads="1"/>
        </xdr:cNvSpPr>
      </xdr:nvSpPr>
      <xdr:spPr bwMode="auto">
        <a:xfrm>
          <a:off x="3076575" y="51816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36</xdr:row>
      <xdr:rowOff>85725</xdr:rowOff>
    </xdr:from>
    <xdr:to>
      <xdr:col>3</xdr:col>
      <xdr:colOff>400050</xdr:colOff>
      <xdr:row>37</xdr:row>
      <xdr:rowOff>114300</xdr:rowOff>
    </xdr:to>
    <xdr:sp macro="" textlink="">
      <xdr:nvSpPr>
        <xdr:cNvPr id="2070703" name="Text Box 954"/>
        <xdr:cNvSpPr txBox="1">
          <a:spLocks noChangeArrowheads="1"/>
        </xdr:cNvSpPr>
      </xdr:nvSpPr>
      <xdr:spPr bwMode="auto">
        <a:xfrm>
          <a:off x="3076575" y="52673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36</xdr:row>
      <xdr:rowOff>0</xdr:rowOff>
    </xdr:from>
    <xdr:to>
      <xdr:col>3</xdr:col>
      <xdr:colOff>400050</xdr:colOff>
      <xdr:row>37</xdr:row>
      <xdr:rowOff>28575</xdr:rowOff>
    </xdr:to>
    <xdr:sp macro="" textlink="">
      <xdr:nvSpPr>
        <xdr:cNvPr id="2070704" name="Text Box 955"/>
        <xdr:cNvSpPr txBox="1">
          <a:spLocks noChangeArrowheads="1"/>
        </xdr:cNvSpPr>
      </xdr:nvSpPr>
      <xdr:spPr bwMode="auto">
        <a:xfrm>
          <a:off x="3076575" y="51816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36</xdr:row>
      <xdr:rowOff>85725</xdr:rowOff>
    </xdr:from>
    <xdr:to>
      <xdr:col>3</xdr:col>
      <xdr:colOff>400050</xdr:colOff>
      <xdr:row>37</xdr:row>
      <xdr:rowOff>114300</xdr:rowOff>
    </xdr:to>
    <xdr:sp macro="" textlink="">
      <xdr:nvSpPr>
        <xdr:cNvPr id="2070705" name="Text Box 956"/>
        <xdr:cNvSpPr txBox="1">
          <a:spLocks noChangeArrowheads="1"/>
        </xdr:cNvSpPr>
      </xdr:nvSpPr>
      <xdr:spPr bwMode="auto">
        <a:xfrm>
          <a:off x="3076575" y="52673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36</xdr:row>
      <xdr:rowOff>0</xdr:rowOff>
    </xdr:from>
    <xdr:to>
      <xdr:col>3</xdr:col>
      <xdr:colOff>400050</xdr:colOff>
      <xdr:row>37</xdr:row>
      <xdr:rowOff>28575</xdr:rowOff>
    </xdr:to>
    <xdr:sp macro="" textlink="">
      <xdr:nvSpPr>
        <xdr:cNvPr id="2070706" name="Text Box 957"/>
        <xdr:cNvSpPr txBox="1">
          <a:spLocks noChangeArrowheads="1"/>
        </xdr:cNvSpPr>
      </xdr:nvSpPr>
      <xdr:spPr bwMode="auto">
        <a:xfrm>
          <a:off x="3076575" y="51816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36</xdr:row>
      <xdr:rowOff>85725</xdr:rowOff>
    </xdr:from>
    <xdr:to>
      <xdr:col>3</xdr:col>
      <xdr:colOff>400050</xdr:colOff>
      <xdr:row>37</xdr:row>
      <xdr:rowOff>114300</xdr:rowOff>
    </xdr:to>
    <xdr:sp macro="" textlink="">
      <xdr:nvSpPr>
        <xdr:cNvPr id="2070707" name="Text Box 958"/>
        <xdr:cNvSpPr txBox="1">
          <a:spLocks noChangeArrowheads="1"/>
        </xdr:cNvSpPr>
      </xdr:nvSpPr>
      <xdr:spPr bwMode="auto">
        <a:xfrm>
          <a:off x="3076575" y="52673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36</xdr:row>
      <xdr:rowOff>0</xdr:rowOff>
    </xdr:from>
    <xdr:to>
      <xdr:col>3</xdr:col>
      <xdr:colOff>400050</xdr:colOff>
      <xdr:row>37</xdr:row>
      <xdr:rowOff>28575</xdr:rowOff>
    </xdr:to>
    <xdr:sp macro="" textlink="">
      <xdr:nvSpPr>
        <xdr:cNvPr id="2070708" name="Text Box 959"/>
        <xdr:cNvSpPr txBox="1">
          <a:spLocks noChangeArrowheads="1"/>
        </xdr:cNvSpPr>
      </xdr:nvSpPr>
      <xdr:spPr bwMode="auto">
        <a:xfrm>
          <a:off x="3076575" y="51816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36</xdr:row>
      <xdr:rowOff>85725</xdr:rowOff>
    </xdr:from>
    <xdr:to>
      <xdr:col>3</xdr:col>
      <xdr:colOff>400050</xdr:colOff>
      <xdr:row>37</xdr:row>
      <xdr:rowOff>114300</xdr:rowOff>
    </xdr:to>
    <xdr:sp macro="" textlink="">
      <xdr:nvSpPr>
        <xdr:cNvPr id="2070709" name="Text Box 960"/>
        <xdr:cNvSpPr txBox="1">
          <a:spLocks noChangeArrowheads="1"/>
        </xdr:cNvSpPr>
      </xdr:nvSpPr>
      <xdr:spPr bwMode="auto">
        <a:xfrm>
          <a:off x="3076575" y="52673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36</xdr:row>
      <xdr:rowOff>0</xdr:rowOff>
    </xdr:from>
    <xdr:to>
      <xdr:col>3</xdr:col>
      <xdr:colOff>400050</xdr:colOff>
      <xdr:row>37</xdr:row>
      <xdr:rowOff>28575</xdr:rowOff>
    </xdr:to>
    <xdr:sp macro="" textlink="">
      <xdr:nvSpPr>
        <xdr:cNvPr id="2070710" name="Text Box 961"/>
        <xdr:cNvSpPr txBox="1">
          <a:spLocks noChangeArrowheads="1"/>
        </xdr:cNvSpPr>
      </xdr:nvSpPr>
      <xdr:spPr bwMode="auto">
        <a:xfrm>
          <a:off x="3076575" y="51816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36</xdr:row>
      <xdr:rowOff>0</xdr:rowOff>
    </xdr:from>
    <xdr:to>
      <xdr:col>3</xdr:col>
      <xdr:colOff>400050</xdr:colOff>
      <xdr:row>37</xdr:row>
      <xdr:rowOff>28575</xdr:rowOff>
    </xdr:to>
    <xdr:sp macro="" textlink="">
      <xdr:nvSpPr>
        <xdr:cNvPr id="2070711" name="Text Box 963"/>
        <xdr:cNvSpPr txBox="1">
          <a:spLocks noChangeArrowheads="1"/>
        </xdr:cNvSpPr>
      </xdr:nvSpPr>
      <xdr:spPr bwMode="auto">
        <a:xfrm>
          <a:off x="3076575" y="51816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36</xdr:row>
      <xdr:rowOff>0</xdr:rowOff>
    </xdr:from>
    <xdr:to>
      <xdr:col>3</xdr:col>
      <xdr:colOff>400050</xdr:colOff>
      <xdr:row>37</xdr:row>
      <xdr:rowOff>38100</xdr:rowOff>
    </xdr:to>
    <xdr:sp macro="" textlink="">
      <xdr:nvSpPr>
        <xdr:cNvPr id="2070712" name="Text Box 964"/>
        <xdr:cNvSpPr txBox="1">
          <a:spLocks noChangeArrowheads="1"/>
        </xdr:cNvSpPr>
      </xdr:nvSpPr>
      <xdr:spPr bwMode="auto">
        <a:xfrm>
          <a:off x="3076575" y="51816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36</xdr:row>
      <xdr:rowOff>0</xdr:rowOff>
    </xdr:from>
    <xdr:to>
      <xdr:col>3</xdr:col>
      <xdr:colOff>400050</xdr:colOff>
      <xdr:row>37</xdr:row>
      <xdr:rowOff>28575</xdr:rowOff>
    </xdr:to>
    <xdr:sp macro="" textlink="">
      <xdr:nvSpPr>
        <xdr:cNvPr id="2070713" name="Text Box 967"/>
        <xdr:cNvSpPr txBox="1">
          <a:spLocks noChangeArrowheads="1"/>
        </xdr:cNvSpPr>
      </xdr:nvSpPr>
      <xdr:spPr bwMode="auto">
        <a:xfrm>
          <a:off x="3076575" y="51816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36</xdr:row>
      <xdr:rowOff>85725</xdr:rowOff>
    </xdr:from>
    <xdr:to>
      <xdr:col>3</xdr:col>
      <xdr:colOff>400050</xdr:colOff>
      <xdr:row>37</xdr:row>
      <xdr:rowOff>114300</xdr:rowOff>
    </xdr:to>
    <xdr:sp macro="" textlink="">
      <xdr:nvSpPr>
        <xdr:cNvPr id="2070714" name="Text Box 968"/>
        <xdr:cNvSpPr txBox="1">
          <a:spLocks noChangeArrowheads="1"/>
        </xdr:cNvSpPr>
      </xdr:nvSpPr>
      <xdr:spPr bwMode="auto">
        <a:xfrm>
          <a:off x="3076575" y="52673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36</xdr:row>
      <xdr:rowOff>0</xdr:rowOff>
    </xdr:from>
    <xdr:to>
      <xdr:col>3</xdr:col>
      <xdr:colOff>400050</xdr:colOff>
      <xdr:row>37</xdr:row>
      <xdr:rowOff>28575</xdr:rowOff>
    </xdr:to>
    <xdr:sp macro="" textlink="">
      <xdr:nvSpPr>
        <xdr:cNvPr id="2070715" name="Text Box 969"/>
        <xdr:cNvSpPr txBox="1">
          <a:spLocks noChangeArrowheads="1"/>
        </xdr:cNvSpPr>
      </xdr:nvSpPr>
      <xdr:spPr bwMode="auto">
        <a:xfrm>
          <a:off x="3076575" y="51816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36</xdr:row>
      <xdr:rowOff>85725</xdr:rowOff>
    </xdr:from>
    <xdr:to>
      <xdr:col>3</xdr:col>
      <xdr:colOff>400050</xdr:colOff>
      <xdr:row>37</xdr:row>
      <xdr:rowOff>114300</xdr:rowOff>
    </xdr:to>
    <xdr:sp macro="" textlink="">
      <xdr:nvSpPr>
        <xdr:cNvPr id="2070716" name="Text Box 970"/>
        <xdr:cNvSpPr txBox="1">
          <a:spLocks noChangeArrowheads="1"/>
        </xdr:cNvSpPr>
      </xdr:nvSpPr>
      <xdr:spPr bwMode="auto">
        <a:xfrm>
          <a:off x="3076575" y="52673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37</xdr:row>
      <xdr:rowOff>0</xdr:rowOff>
    </xdr:from>
    <xdr:to>
      <xdr:col>3</xdr:col>
      <xdr:colOff>400050</xdr:colOff>
      <xdr:row>38</xdr:row>
      <xdr:rowOff>28575</xdr:rowOff>
    </xdr:to>
    <xdr:sp macro="" textlink="">
      <xdr:nvSpPr>
        <xdr:cNvPr id="2070717" name="Text Box 8"/>
        <xdr:cNvSpPr txBox="1">
          <a:spLocks noChangeArrowheads="1"/>
        </xdr:cNvSpPr>
      </xdr:nvSpPr>
      <xdr:spPr bwMode="auto">
        <a:xfrm>
          <a:off x="3076575" y="53435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37</xdr:row>
      <xdr:rowOff>0</xdr:rowOff>
    </xdr:from>
    <xdr:to>
      <xdr:col>3</xdr:col>
      <xdr:colOff>400050</xdr:colOff>
      <xdr:row>38</xdr:row>
      <xdr:rowOff>38100</xdr:rowOff>
    </xdr:to>
    <xdr:sp macro="" textlink="">
      <xdr:nvSpPr>
        <xdr:cNvPr id="2070718" name="Text Box 9"/>
        <xdr:cNvSpPr txBox="1">
          <a:spLocks noChangeArrowheads="1"/>
        </xdr:cNvSpPr>
      </xdr:nvSpPr>
      <xdr:spPr bwMode="auto">
        <a:xfrm>
          <a:off x="3076575" y="5343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37</xdr:row>
      <xdr:rowOff>0</xdr:rowOff>
    </xdr:from>
    <xdr:to>
      <xdr:col>3</xdr:col>
      <xdr:colOff>400050</xdr:colOff>
      <xdr:row>38</xdr:row>
      <xdr:rowOff>28575</xdr:rowOff>
    </xdr:to>
    <xdr:sp macro="" textlink="">
      <xdr:nvSpPr>
        <xdr:cNvPr id="2070719" name="Text Box 38"/>
        <xdr:cNvSpPr txBox="1">
          <a:spLocks noChangeArrowheads="1"/>
        </xdr:cNvSpPr>
      </xdr:nvSpPr>
      <xdr:spPr bwMode="auto">
        <a:xfrm>
          <a:off x="3076575" y="53435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37</xdr:row>
      <xdr:rowOff>0</xdr:rowOff>
    </xdr:from>
    <xdr:to>
      <xdr:col>3</xdr:col>
      <xdr:colOff>400050</xdr:colOff>
      <xdr:row>38</xdr:row>
      <xdr:rowOff>38100</xdr:rowOff>
    </xdr:to>
    <xdr:sp macro="" textlink="">
      <xdr:nvSpPr>
        <xdr:cNvPr id="2070720" name="Text Box 39"/>
        <xdr:cNvSpPr txBox="1">
          <a:spLocks noChangeArrowheads="1"/>
        </xdr:cNvSpPr>
      </xdr:nvSpPr>
      <xdr:spPr bwMode="auto">
        <a:xfrm>
          <a:off x="3076575" y="5343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37</xdr:row>
      <xdr:rowOff>0</xdr:rowOff>
    </xdr:from>
    <xdr:to>
      <xdr:col>3</xdr:col>
      <xdr:colOff>400050</xdr:colOff>
      <xdr:row>38</xdr:row>
      <xdr:rowOff>28575</xdr:rowOff>
    </xdr:to>
    <xdr:sp macro="" textlink="">
      <xdr:nvSpPr>
        <xdr:cNvPr id="2070721" name="Text Box 46"/>
        <xdr:cNvSpPr txBox="1">
          <a:spLocks noChangeArrowheads="1"/>
        </xdr:cNvSpPr>
      </xdr:nvSpPr>
      <xdr:spPr bwMode="auto">
        <a:xfrm>
          <a:off x="3076575" y="53435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37</xdr:row>
      <xdr:rowOff>0</xdr:rowOff>
    </xdr:from>
    <xdr:to>
      <xdr:col>3</xdr:col>
      <xdr:colOff>400050</xdr:colOff>
      <xdr:row>38</xdr:row>
      <xdr:rowOff>38100</xdr:rowOff>
    </xdr:to>
    <xdr:sp macro="" textlink="">
      <xdr:nvSpPr>
        <xdr:cNvPr id="2070722" name="Text Box 47"/>
        <xdr:cNvSpPr txBox="1">
          <a:spLocks noChangeArrowheads="1"/>
        </xdr:cNvSpPr>
      </xdr:nvSpPr>
      <xdr:spPr bwMode="auto">
        <a:xfrm>
          <a:off x="3076575" y="5343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37</xdr:row>
      <xdr:rowOff>0</xdr:rowOff>
    </xdr:from>
    <xdr:to>
      <xdr:col>3</xdr:col>
      <xdr:colOff>400050</xdr:colOff>
      <xdr:row>38</xdr:row>
      <xdr:rowOff>28575</xdr:rowOff>
    </xdr:to>
    <xdr:sp macro="" textlink="">
      <xdr:nvSpPr>
        <xdr:cNvPr id="2070723" name="Text Box 157"/>
        <xdr:cNvSpPr txBox="1">
          <a:spLocks noChangeArrowheads="1"/>
        </xdr:cNvSpPr>
      </xdr:nvSpPr>
      <xdr:spPr bwMode="auto">
        <a:xfrm>
          <a:off x="3076575" y="53435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37</xdr:row>
      <xdr:rowOff>0</xdr:rowOff>
    </xdr:from>
    <xdr:to>
      <xdr:col>3</xdr:col>
      <xdr:colOff>400050</xdr:colOff>
      <xdr:row>38</xdr:row>
      <xdr:rowOff>38100</xdr:rowOff>
    </xdr:to>
    <xdr:sp macro="" textlink="">
      <xdr:nvSpPr>
        <xdr:cNvPr id="2070724" name="Text Box 158"/>
        <xdr:cNvSpPr txBox="1">
          <a:spLocks noChangeArrowheads="1"/>
        </xdr:cNvSpPr>
      </xdr:nvSpPr>
      <xdr:spPr bwMode="auto">
        <a:xfrm>
          <a:off x="3076575" y="5343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37</xdr:row>
      <xdr:rowOff>0</xdr:rowOff>
    </xdr:from>
    <xdr:to>
      <xdr:col>3</xdr:col>
      <xdr:colOff>400050</xdr:colOff>
      <xdr:row>38</xdr:row>
      <xdr:rowOff>28575</xdr:rowOff>
    </xdr:to>
    <xdr:sp macro="" textlink="">
      <xdr:nvSpPr>
        <xdr:cNvPr id="2070725" name="Text Box 230"/>
        <xdr:cNvSpPr txBox="1">
          <a:spLocks noChangeArrowheads="1"/>
        </xdr:cNvSpPr>
      </xdr:nvSpPr>
      <xdr:spPr bwMode="auto">
        <a:xfrm>
          <a:off x="3076575" y="53435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37</xdr:row>
      <xdr:rowOff>0</xdr:rowOff>
    </xdr:from>
    <xdr:to>
      <xdr:col>3</xdr:col>
      <xdr:colOff>400050</xdr:colOff>
      <xdr:row>38</xdr:row>
      <xdr:rowOff>38100</xdr:rowOff>
    </xdr:to>
    <xdr:sp macro="" textlink="">
      <xdr:nvSpPr>
        <xdr:cNvPr id="2070726" name="Text Box 231"/>
        <xdr:cNvSpPr txBox="1">
          <a:spLocks noChangeArrowheads="1"/>
        </xdr:cNvSpPr>
      </xdr:nvSpPr>
      <xdr:spPr bwMode="auto">
        <a:xfrm>
          <a:off x="3076575" y="5343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37</xdr:row>
      <xdr:rowOff>0</xdr:rowOff>
    </xdr:from>
    <xdr:to>
      <xdr:col>3</xdr:col>
      <xdr:colOff>400050</xdr:colOff>
      <xdr:row>38</xdr:row>
      <xdr:rowOff>28575</xdr:rowOff>
    </xdr:to>
    <xdr:sp macro="" textlink="">
      <xdr:nvSpPr>
        <xdr:cNvPr id="2070727" name="Text Box 453"/>
        <xdr:cNvSpPr txBox="1">
          <a:spLocks noChangeArrowheads="1"/>
        </xdr:cNvSpPr>
      </xdr:nvSpPr>
      <xdr:spPr bwMode="auto">
        <a:xfrm>
          <a:off x="3076575" y="53435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37</xdr:row>
      <xdr:rowOff>85725</xdr:rowOff>
    </xdr:from>
    <xdr:to>
      <xdr:col>3</xdr:col>
      <xdr:colOff>400050</xdr:colOff>
      <xdr:row>38</xdr:row>
      <xdr:rowOff>114300</xdr:rowOff>
    </xdr:to>
    <xdr:sp macro="" textlink="">
      <xdr:nvSpPr>
        <xdr:cNvPr id="2070728" name="Text Box 454"/>
        <xdr:cNvSpPr txBox="1">
          <a:spLocks noChangeArrowheads="1"/>
        </xdr:cNvSpPr>
      </xdr:nvSpPr>
      <xdr:spPr bwMode="auto">
        <a:xfrm>
          <a:off x="3076575" y="54292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37</xdr:row>
      <xdr:rowOff>0</xdr:rowOff>
    </xdr:from>
    <xdr:to>
      <xdr:col>3</xdr:col>
      <xdr:colOff>400050</xdr:colOff>
      <xdr:row>38</xdr:row>
      <xdr:rowOff>28575</xdr:rowOff>
    </xdr:to>
    <xdr:sp macro="" textlink="">
      <xdr:nvSpPr>
        <xdr:cNvPr id="2070729" name="Text Box 455"/>
        <xdr:cNvSpPr txBox="1">
          <a:spLocks noChangeArrowheads="1"/>
        </xdr:cNvSpPr>
      </xdr:nvSpPr>
      <xdr:spPr bwMode="auto">
        <a:xfrm>
          <a:off x="3076575" y="53435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37</xdr:row>
      <xdr:rowOff>85725</xdr:rowOff>
    </xdr:from>
    <xdr:to>
      <xdr:col>3</xdr:col>
      <xdr:colOff>400050</xdr:colOff>
      <xdr:row>38</xdr:row>
      <xdr:rowOff>114300</xdr:rowOff>
    </xdr:to>
    <xdr:sp macro="" textlink="">
      <xdr:nvSpPr>
        <xdr:cNvPr id="2070730" name="Text Box 456"/>
        <xdr:cNvSpPr txBox="1">
          <a:spLocks noChangeArrowheads="1"/>
        </xdr:cNvSpPr>
      </xdr:nvSpPr>
      <xdr:spPr bwMode="auto">
        <a:xfrm>
          <a:off x="3076575" y="54292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37</xdr:row>
      <xdr:rowOff>0</xdr:rowOff>
    </xdr:from>
    <xdr:to>
      <xdr:col>3</xdr:col>
      <xdr:colOff>400050</xdr:colOff>
      <xdr:row>38</xdr:row>
      <xdr:rowOff>28575</xdr:rowOff>
    </xdr:to>
    <xdr:sp macro="" textlink="">
      <xdr:nvSpPr>
        <xdr:cNvPr id="2070731" name="Text Box 457"/>
        <xdr:cNvSpPr txBox="1">
          <a:spLocks noChangeArrowheads="1"/>
        </xdr:cNvSpPr>
      </xdr:nvSpPr>
      <xdr:spPr bwMode="auto">
        <a:xfrm>
          <a:off x="3076575" y="53435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37</xdr:row>
      <xdr:rowOff>85725</xdr:rowOff>
    </xdr:from>
    <xdr:to>
      <xdr:col>3</xdr:col>
      <xdr:colOff>400050</xdr:colOff>
      <xdr:row>38</xdr:row>
      <xdr:rowOff>114300</xdr:rowOff>
    </xdr:to>
    <xdr:sp macro="" textlink="">
      <xdr:nvSpPr>
        <xdr:cNvPr id="2070732" name="Text Box 458"/>
        <xdr:cNvSpPr txBox="1">
          <a:spLocks noChangeArrowheads="1"/>
        </xdr:cNvSpPr>
      </xdr:nvSpPr>
      <xdr:spPr bwMode="auto">
        <a:xfrm>
          <a:off x="3076575" y="54292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37</xdr:row>
      <xdr:rowOff>0</xdr:rowOff>
    </xdr:from>
    <xdr:to>
      <xdr:col>3</xdr:col>
      <xdr:colOff>400050</xdr:colOff>
      <xdr:row>38</xdr:row>
      <xdr:rowOff>28575</xdr:rowOff>
    </xdr:to>
    <xdr:sp macro="" textlink="">
      <xdr:nvSpPr>
        <xdr:cNvPr id="2070733" name="Text Box 459"/>
        <xdr:cNvSpPr txBox="1">
          <a:spLocks noChangeArrowheads="1"/>
        </xdr:cNvSpPr>
      </xdr:nvSpPr>
      <xdr:spPr bwMode="auto">
        <a:xfrm>
          <a:off x="3076575" y="53435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37</xdr:row>
      <xdr:rowOff>85725</xdr:rowOff>
    </xdr:from>
    <xdr:to>
      <xdr:col>3</xdr:col>
      <xdr:colOff>400050</xdr:colOff>
      <xdr:row>38</xdr:row>
      <xdr:rowOff>114300</xdr:rowOff>
    </xdr:to>
    <xdr:sp macro="" textlink="">
      <xdr:nvSpPr>
        <xdr:cNvPr id="2070734" name="Text Box 460"/>
        <xdr:cNvSpPr txBox="1">
          <a:spLocks noChangeArrowheads="1"/>
        </xdr:cNvSpPr>
      </xdr:nvSpPr>
      <xdr:spPr bwMode="auto">
        <a:xfrm>
          <a:off x="3076575" y="54292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37</xdr:row>
      <xdr:rowOff>0</xdr:rowOff>
    </xdr:from>
    <xdr:to>
      <xdr:col>3</xdr:col>
      <xdr:colOff>400050</xdr:colOff>
      <xdr:row>38</xdr:row>
      <xdr:rowOff>28575</xdr:rowOff>
    </xdr:to>
    <xdr:sp macro="" textlink="">
      <xdr:nvSpPr>
        <xdr:cNvPr id="2070735" name="Text Box 461"/>
        <xdr:cNvSpPr txBox="1">
          <a:spLocks noChangeArrowheads="1"/>
        </xdr:cNvSpPr>
      </xdr:nvSpPr>
      <xdr:spPr bwMode="auto">
        <a:xfrm>
          <a:off x="3076575" y="53435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37</xdr:row>
      <xdr:rowOff>0</xdr:rowOff>
    </xdr:from>
    <xdr:to>
      <xdr:col>3</xdr:col>
      <xdr:colOff>400050</xdr:colOff>
      <xdr:row>38</xdr:row>
      <xdr:rowOff>28575</xdr:rowOff>
    </xdr:to>
    <xdr:sp macro="" textlink="">
      <xdr:nvSpPr>
        <xdr:cNvPr id="2070736" name="Text Box 528"/>
        <xdr:cNvSpPr txBox="1">
          <a:spLocks noChangeArrowheads="1"/>
        </xdr:cNvSpPr>
      </xdr:nvSpPr>
      <xdr:spPr bwMode="auto">
        <a:xfrm>
          <a:off x="3076575" y="53435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37</xdr:row>
      <xdr:rowOff>0</xdr:rowOff>
    </xdr:from>
    <xdr:to>
      <xdr:col>3</xdr:col>
      <xdr:colOff>400050</xdr:colOff>
      <xdr:row>38</xdr:row>
      <xdr:rowOff>38100</xdr:rowOff>
    </xdr:to>
    <xdr:sp macro="" textlink="">
      <xdr:nvSpPr>
        <xdr:cNvPr id="2070737" name="Text Box 529"/>
        <xdr:cNvSpPr txBox="1">
          <a:spLocks noChangeArrowheads="1"/>
        </xdr:cNvSpPr>
      </xdr:nvSpPr>
      <xdr:spPr bwMode="auto">
        <a:xfrm>
          <a:off x="3076575" y="5343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37</xdr:row>
      <xdr:rowOff>0</xdr:rowOff>
    </xdr:from>
    <xdr:to>
      <xdr:col>3</xdr:col>
      <xdr:colOff>400050</xdr:colOff>
      <xdr:row>38</xdr:row>
      <xdr:rowOff>28575</xdr:rowOff>
    </xdr:to>
    <xdr:sp macro="" textlink="">
      <xdr:nvSpPr>
        <xdr:cNvPr id="2070738" name="Text Box 532"/>
        <xdr:cNvSpPr txBox="1">
          <a:spLocks noChangeArrowheads="1"/>
        </xdr:cNvSpPr>
      </xdr:nvSpPr>
      <xdr:spPr bwMode="auto">
        <a:xfrm>
          <a:off x="3076575" y="53435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37</xdr:row>
      <xdr:rowOff>85725</xdr:rowOff>
    </xdr:from>
    <xdr:to>
      <xdr:col>3</xdr:col>
      <xdr:colOff>400050</xdr:colOff>
      <xdr:row>38</xdr:row>
      <xdr:rowOff>114300</xdr:rowOff>
    </xdr:to>
    <xdr:sp macro="" textlink="">
      <xdr:nvSpPr>
        <xdr:cNvPr id="2070739" name="Text Box 533"/>
        <xdr:cNvSpPr txBox="1">
          <a:spLocks noChangeArrowheads="1"/>
        </xdr:cNvSpPr>
      </xdr:nvSpPr>
      <xdr:spPr bwMode="auto">
        <a:xfrm>
          <a:off x="3076575" y="54292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37</xdr:row>
      <xdr:rowOff>0</xdr:rowOff>
    </xdr:from>
    <xdr:to>
      <xdr:col>3</xdr:col>
      <xdr:colOff>400050</xdr:colOff>
      <xdr:row>38</xdr:row>
      <xdr:rowOff>28575</xdr:rowOff>
    </xdr:to>
    <xdr:sp macro="" textlink="">
      <xdr:nvSpPr>
        <xdr:cNvPr id="2070740" name="Text Box 534"/>
        <xdr:cNvSpPr txBox="1">
          <a:spLocks noChangeArrowheads="1"/>
        </xdr:cNvSpPr>
      </xdr:nvSpPr>
      <xdr:spPr bwMode="auto">
        <a:xfrm>
          <a:off x="3076575" y="53435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37</xdr:row>
      <xdr:rowOff>85725</xdr:rowOff>
    </xdr:from>
    <xdr:to>
      <xdr:col>3</xdr:col>
      <xdr:colOff>400050</xdr:colOff>
      <xdr:row>38</xdr:row>
      <xdr:rowOff>114300</xdr:rowOff>
    </xdr:to>
    <xdr:sp macro="" textlink="">
      <xdr:nvSpPr>
        <xdr:cNvPr id="2070741" name="Text Box 535"/>
        <xdr:cNvSpPr txBox="1">
          <a:spLocks noChangeArrowheads="1"/>
        </xdr:cNvSpPr>
      </xdr:nvSpPr>
      <xdr:spPr bwMode="auto">
        <a:xfrm>
          <a:off x="3076575" y="54292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37</xdr:row>
      <xdr:rowOff>0</xdr:rowOff>
    </xdr:from>
    <xdr:to>
      <xdr:col>3</xdr:col>
      <xdr:colOff>400050</xdr:colOff>
      <xdr:row>38</xdr:row>
      <xdr:rowOff>28575</xdr:rowOff>
    </xdr:to>
    <xdr:sp macro="" textlink="">
      <xdr:nvSpPr>
        <xdr:cNvPr id="2070742" name="Text Box 931"/>
        <xdr:cNvSpPr txBox="1">
          <a:spLocks noChangeArrowheads="1"/>
        </xdr:cNvSpPr>
      </xdr:nvSpPr>
      <xdr:spPr bwMode="auto">
        <a:xfrm>
          <a:off x="3076575" y="53435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37</xdr:row>
      <xdr:rowOff>0</xdr:rowOff>
    </xdr:from>
    <xdr:to>
      <xdr:col>3</xdr:col>
      <xdr:colOff>400050</xdr:colOff>
      <xdr:row>38</xdr:row>
      <xdr:rowOff>38100</xdr:rowOff>
    </xdr:to>
    <xdr:sp macro="" textlink="">
      <xdr:nvSpPr>
        <xdr:cNvPr id="2070743" name="Text Box 932"/>
        <xdr:cNvSpPr txBox="1">
          <a:spLocks noChangeArrowheads="1"/>
        </xdr:cNvSpPr>
      </xdr:nvSpPr>
      <xdr:spPr bwMode="auto">
        <a:xfrm>
          <a:off x="3076575" y="5343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37</xdr:row>
      <xdr:rowOff>0</xdr:rowOff>
    </xdr:from>
    <xdr:to>
      <xdr:col>3</xdr:col>
      <xdr:colOff>400050</xdr:colOff>
      <xdr:row>38</xdr:row>
      <xdr:rowOff>28575</xdr:rowOff>
    </xdr:to>
    <xdr:sp macro="" textlink="">
      <xdr:nvSpPr>
        <xdr:cNvPr id="2070744" name="Text Box 933"/>
        <xdr:cNvSpPr txBox="1">
          <a:spLocks noChangeArrowheads="1"/>
        </xdr:cNvSpPr>
      </xdr:nvSpPr>
      <xdr:spPr bwMode="auto">
        <a:xfrm>
          <a:off x="3076575" y="53435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37</xdr:row>
      <xdr:rowOff>0</xdr:rowOff>
    </xdr:from>
    <xdr:to>
      <xdr:col>3</xdr:col>
      <xdr:colOff>400050</xdr:colOff>
      <xdr:row>38</xdr:row>
      <xdr:rowOff>38100</xdr:rowOff>
    </xdr:to>
    <xdr:sp macro="" textlink="">
      <xdr:nvSpPr>
        <xdr:cNvPr id="2070745" name="Text Box 934"/>
        <xdr:cNvSpPr txBox="1">
          <a:spLocks noChangeArrowheads="1"/>
        </xdr:cNvSpPr>
      </xdr:nvSpPr>
      <xdr:spPr bwMode="auto">
        <a:xfrm>
          <a:off x="3076575" y="5343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37</xdr:row>
      <xdr:rowOff>0</xdr:rowOff>
    </xdr:from>
    <xdr:to>
      <xdr:col>3</xdr:col>
      <xdr:colOff>400050</xdr:colOff>
      <xdr:row>38</xdr:row>
      <xdr:rowOff>28575</xdr:rowOff>
    </xdr:to>
    <xdr:sp macro="" textlink="">
      <xdr:nvSpPr>
        <xdr:cNvPr id="2070746" name="Text Box 935"/>
        <xdr:cNvSpPr txBox="1">
          <a:spLocks noChangeArrowheads="1"/>
        </xdr:cNvSpPr>
      </xdr:nvSpPr>
      <xdr:spPr bwMode="auto">
        <a:xfrm>
          <a:off x="3076575" y="53435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37</xdr:row>
      <xdr:rowOff>0</xdr:rowOff>
    </xdr:from>
    <xdr:to>
      <xdr:col>3</xdr:col>
      <xdr:colOff>400050</xdr:colOff>
      <xdr:row>38</xdr:row>
      <xdr:rowOff>38100</xdr:rowOff>
    </xdr:to>
    <xdr:sp macro="" textlink="">
      <xdr:nvSpPr>
        <xdr:cNvPr id="2070747" name="Text Box 936"/>
        <xdr:cNvSpPr txBox="1">
          <a:spLocks noChangeArrowheads="1"/>
        </xdr:cNvSpPr>
      </xdr:nvSpPr>
      <xdr:spPr bwMode="auto">
        <a:xfrm>
          <a:off x="3076575" y="5343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37</xdr:row>
      <xdr:rowOff>0</xdr:rowOff>
    </xdr:from>
    <xdr:to>
      <xdr:col>3</xdr:col>
      <xdr:colOff>400050</xdr:colOff>
      <xdr:row>38</xdr:row>
      <xdr:rowOff>28575</xdr:rowOff>
    </xdr:to>
    <xdr:sp macro="" textlink="">
      <xdr:nvSpPr>
        <xdr:cNvPr id="2070748" name="Text Box 937"/>
        <xdr:cNvSpPr txBox="1">
          <a:spLocks noChangeArrowheads="1"/>
        </xdr:cNvSpPr>
      </xdr:nvSpPr>
      <xdr:spPr bwMode="auto">
        <a:xfrm>
          <a:off x="3076575" y="53435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37</xdr:row>
      <xdr:rowOff>0</xdr:rowOff>
    </xdr:from>
    <xdr:to>
      <xdr:col>3</xdr:col>
      <xdr:colOff>400050</xdr:colOff>
      <xdr:row>38</xdr:row>
      <xdr:rowOff>38100</xdr:rowOff>
    </xdr:to>
    <xdr:sp macro="" textlink="">
      <xdr:nvSpPr>
        <xdr:cNvPr id="2070749" name="Text Box 938"/>
        <xdr:cNvSpPr txBox="1">
          <a:spLocks noChangeArrowheads="1"/>
        </xdr:cNvSpPr>
      </xdr:nvSpPr>
      <xdr:spPr bwMode="auto">
        <a:xfrm>
          <a:off x="3076575" y="5343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37</xdr:row>
      <xdr:rowOff>0</xdr:rowOff>
    </xdr:from>
    <xdr:to>
      <xdr:col>3</xdr:col>
      <xdr:colOff>400050</xdr:colOff>
      <xdr:row>38</xdr:row>
      <xdr:rowOff>28575</xdr:rowOff>
    </xdr:to>
    <xdr:sp macro="" textlink="">
      <xdr:nvSpPr>
        <xdr:cNvPr id="2070750" name="Text Box 949"/>
        <xdr:cNvSpPr txBox="1">
          <a:spLocks noChangeArrowheads="1"/>
        </xdr:cNvSpPr>
      </xdr:nvSpPr>
      <xdr:spPr bwMode="auto">
        <a:xfrm>
          <a:off x="3076575" y="53435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37</xdr:row>
      <xdr:rowOff>0</xdr:rowOff>
    </xdr:from>
    <xdr:to>
      <xdr:col>3</xdr:col>
      <xdr:colOff>400050</xdr:colOff>
      <xdr:row>38</xdr:row>
      <xdr:rowOff>38100</xdr:rowOff>
    </xdr:to>
    <xdr:sp macro="" textlink="">
      <xdr:nvSpPr>
        <xdr:cNvPr id="2070751" name="Text Box 950"/>
        <xdr:cNvSpPr txBox="1">
          <a:spLocks noChangeArrowheads="1"/>
        </xdr:cNvSpPr>
      </xdr:nvSpPr>
      <xdr:spPr bwMode="auto">
        <a:xfrm>
          <a:off x="3076575" y="5343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37</xdr:row>
      <xdr:rowOff>0</xdr:rowOff>
    </xdr:from>
    <xdr:to>
      <xdr:col>3</xdr:col>
      <xdr:colOff>400050</xdr:colOff>
      <xdr:row>38</xdr:row>
      <xdr:rowOff>28575</xdr:rowOff>
    </xdr:to>
    <xdr:sp macro="" textlink="">
      <xdr:nvSpPr>
        <xdr:cNvPr id="2070752" name="Text Box 953"/>
        <xdr:cNvSpPr txBox="1">
          <a:spLocks noChangeArrowheads="1"/>
        </xdr:cNvSpPr>
      </xdr:nvSpPr>
      <xdr:spPr bwMode="auto">
        <a:xfrm>
          <a:off x="3076575" y="53435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37</xdr:row>
      <xdr:rowOff>85725</xdr:rowOff>
    </xdr:from>
    <xdr:to>
      <xdr:col>3</xdr:col>
      <xdr:colOff>400050</xdr:colOff>
      <xdr:row>38</xdr:row>
      <xdr:rowOff>114300</xdr:rowOff>
    </xdr:to>
    <xdr:sp macro="" textlink="">
      <xdr:nvSpPr>
        <xdr:cNvPr id="2070753" name="Text Box 954"/>
        <xdr:cNvSpPr txBox="1">
          <a:spLocks noChangeArrowheads="1"/>
        </xdr:cNvSpPr>
      </xdr:nvSpPr>
      <xdr:spPr bwMode="auto">
        <a:xfrm>
          <a:off x="3076575" y="54292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37</xdr:row>
      <xdr:rowOff>0</xdr:rowOff>
    </xdr:from>
    <xdr:to>
      <xdr:col>3</xdr:col>
      <xdr:colOff>400050</xdr:colOff>
      <xdr:row>38</xdr:row>
      <xdr:rowOff>28575</xdr:rowOff>
    </xdr:to>
    <xdr:sp macro="" textlink="">
      <xdr:nvSpPr>
        <xdr:cNvPr id="2070754" name="Text Box 955"/>
        <xdr:cNvSpPr txBox="1">
          <a:spLocks noChangeArrowheads="1"/>
        </xdr:cNvSpPr>
      </xdr:nvSpPr>
      <xdr:spPr bwMode="auto">
        <a:xfrm>
          <a:off x="3076575" y="53435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37</xdr:row>
      <xdr:rowOff>85725</xdr:rowOff>
    </xdr:from>
    <xdr:to>
      <xdr:col>3</xdr:col>
      <xdr:colOff>400050</xdr:colOff>
      <xdr:row>38</xdr:row>
      <xdr:rowOff>114300</xdr:rowOff>
    </xdr:to>
    <xdr:sp macro="" textlink="">
      <xdr:nvSpPr>
        <xdr:cNvPr id="2070755" name="Text Box 956"/>
        <xdr:cNvSpPr txBox="1">
          <a:spLocks noChangeArrowheads="1"/>
        </xdr:cNvSpPr>
      </xdr:nvSpPr>
      <xdr:spPr bwMode="auto">
        <a:xfrm>
          <a:off x="3076575" y="54292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37</xdr:row>
      <xdr:rowOff>0</xdr:rowOff>
    </xdr:from>
    <xdr:to>
      <xdr:col>3</xdr:col>
      <xdr:colOff>400050</xdr:colOff>
      <xdr:row>38</xdr:row>
      <xdr:rowOff>28575</xdr:rowOff>
    </xdr:to>
    <xdr:sp macro="" textlink="">
      <xdr:nvSpPr>
        <xdr:cNvPr id="2070756" name="Text Box 957"/>
        <xdr:cNvSpPr txBox="1">
          <a:spLocks noChangeArrowheads="1"/>
        </xdr:cNvSpPr>
      </xdr:nvSpPr>
      <xdr:spPr bwMode="auto">
        <a:xfrm>
          <a:off x="3076575" y="53435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37</xdr:row>
      <xdr:rowOff>85725</xdr:rowOff>
    </xdr:from>
    <xdr:to>
      <xdr:col>3</xdr:col>
      <xdr:colOff>400050</xdr:colOff>
      <xdr:row>38</xdr:row>
      <xdr:rowOff>114300</xdr:rowOff>
    </xdr:to>
    <xdr:sp macro="" textlink="">
      <xdr:nvSpPr>
        <xdr:cNvPr id="2070757" name="Text Box 958"/>
        <xdr:cNvSpPr txBox="1">
          <a:spLocks noChangeArrowheads="1"/>
        </xdr:cNvSpPr>
      </xdr:nvSpPr>
      <xdr:spPr bwMode="auto">
        <a:xfrm>
          <a:off x="3076575" y="54292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37</xdr:row>
      <xdr:rowOff>0</xdr:rowOff>
    </xdr:from>
    <xdr:to>
      <xdr:col>3</xdr:col>
      <xdr:colOff>400050</xdr:colOff>
      <xdr:row>38</xdr:row>
      <xdr:rowOff>28575</xdr:rowOff>
    </xdr:to>
    <xdr:sp macro="" textlink="">
      <xdr:nvSpPr>
        <xdr:cNvPr id="2070758" name="Text Box 959"/>
        <xdr:cNvSpPr txBox="1">
          <a:spLocks noChangeArrowheads="1"/>
        </xdr:cNvSpPr>
      </xdr:nvSpPr>
      <xdr:spPr bwMode="auto">
        <a:xfrm>
          <a:off x="3076575" y="53435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37</xdr:row>
      <xdr:rowOff>85725</xdr:rowOff>
    </xdr:from>
    <xdr:to>
      <xdr:col>3</xdr:col>
      <xdr:colOff>400050</xdr:colOff>
      <xdr:row>38</xdr:row>
      <xdr:rowOff>114300</xdr:rowOff>
    </xdr:to>
    <xdr:sp macro="" textlink="">
      <xdr:nvSpPr>
        <xdr:cNvPr id="2070759" name="Text Box 960"/>
        <xdr:cNvSpPr txBox="1">
          <a:spLocks noChangeArrowheads="1"/>
        </xdr:cNvSpPr>
      </xdr:nvSpPr>
      <xdr:spPr bwMode="auto">
        <a:xfrm>
          <a:off x="3076575" y="54292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37</xdr:row>
      <xdr:rowOff>0</xdr:rowOff>
    </xdr:from>
    <xdr:to>
      <xdr:col>3</xdr:col>
      <xdr:colOff>400050</xdr:colOff>
      <xdr:row>38</xdr:row>
      <xdr:rowOff>28575</xdr:rowOff>
    </xdr:to>
    <xdr:sp macro="" textlink="">
      <xdr:nvSpPr>
        <xdr:cNvPr id="2070760" name="Text Box 961"/>
        <xdr:cNvSpPr txBox="1">
          <a:spLocks noChangeArrowheads="1"/>
        </xdr:cNvSpPr>
      </xdr:nvSpPr>
      <xdr:spPr bwMode="auto">
        <a:xfrm>
          <a:off x="3076575" y="53435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37</xdr:row>
      <xdr:rowOff>0</xdr:rowOff>
    </xdr:from>
    <xdr:to>
      <xdr:col>3</xdr:col>
      <xdr:colOff>400050</xdr:colOff>
      <xdr:row>38</xdr:row>
      <xdr:rowOff>28575</xdr:rowOff>
    </xdr:to>
    <xdr:sp macro="" textlink="">
      <xdr:nvSpPr>
        <xdr:cNvPr id="2070761" name="Text Box 963"/>
        <xdr:cNvSpPr txBox="1">
          <a:spLocks noChangeArrowheads="1"/>
        </xdr:cNvSpPr>
      </xdr:nvSpPr>
      <xdr:spPr bwMode="auto">
        <a:xfrm>
          <a:off x="3076575" y="53435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37</xdr:row>
      <xdr:rowOff>0</xdr:rowOff>
    </xdr:from>
    <xdr:to>
      <xdr:col>3</xdr:col>
      <xdr:colOff>400050</xdr:colOff>
      <xdr:row>38</xdr:row>
      <xdr:rowOff>38100</xdr:rowOff>
    </xdr:to>
    <xdr:sp macro="" textlink="">
      <xdr:nvSpPr>
        <xdr:cNvPr id="2070762" name="Text Box 964"/>
        <xdr:cNvSpPr txBox="1">
          <a:spLocks noChangeArrowheads="1"/>
        </xdr:cNvSpPr>
      </xdr:nvSpPr>
      <xdr:spPr bwMode="auto">
        <a:xfrm>
          <a:off x="3076575" y="5343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37</xdr:row>
      <xdr:rowOff>0</xdr:rowOff>
    </xdr:from>
    <xdr:to>
      <xdr:col>3</xdr:col>
      <xdr:colOff>400050</xdr:colOff>
      <xdr:row>38</xdr:row>
      <xdr:rowOff>28575</xdr:rowOff>
    </xdr:to>
    <xdr:sp macro="" textlink="">
      <xdr:nvSpPr>
        <xdr:cNvPr id="2070763" name="Text Box 967"/>
        <xdr:cNvSpPr txBox="1">
          <a:spLocks noChangeArrowheads="1"/>
        </xdr:cNvSpPr>
      </xdr:nvSpPr>
      <xdr:spPr bwMode="auto">
        <a:xfrm>
          <a:off x="3076575" y="53435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37</xdr:row>
      <xdr:rowOff>85725</xdr:rowOff>
    </xdr:from>
    <xdr:to>
      <xdr:col>3</xdr:col>
      <xdr:colOff>400050</xdr:colOff>
      <xdr:row>38</xdr:row>
      <xdr:rowOff>114300</xdr:rowOff>
    </xdr:to>
    <xdr:sp macro="" textlink="">
      <xdr:nvSpPr>
        <xdr:cNvPr id="2070764" name="Text Box 968"/>
        <xdr:cNvSpPr txBox="1">
          <a:spLocks noChangeArrowheads="1"/>
        </xdr:cNvSpPr>
      </xdr:nvSpPr>
      <xdr:spPr bwMode="auto">
        <a:xfrm>
          <a:off x="3076575" y="54292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37</xdr:row>
      <xdr:rowOff>0</xdr:rowOff>
    </xdr:from>
    <xdr:to>
      <xdr:col>3</xdr:col>
      <xdr:colOff>400050</xdr:colOff>
      <xdr:row>38</xdr:row>
      <xdr:rowOff>28575</xdr:rowOff>
    </xdr:to>
    <xdr:sp macro="" textlink="">
      <xdr:nvSpPr>
        <xdr:cNvPr id="2070765" name="Text Box 969"/>
        <xdr:cNvSpPr txBox="1">
          <a:spLocks noChangeArrowheads="1"/>
        </xdr:cNvSpPr>
      </xdr:nvSpPr>
      <xdr:spPr bwMode="auto">
        <a:xfrm>
          <a:off x="3076575" y="53435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37</xdr:row>
      <xdr:rowOff>85725</xdr:rowOff>
    </xdr:from>
    <xdr:to>
      <xdr:col>3</xdr:col>
      <xdr:colOff>400050</xdr:colOff>
      <xdr:row>38</xdr:row>
      <xdr:rowOff>114300</xdr:rowOff>
    </xdr:to>
    <xdr:sp macro="" textlink="">
      <xdr:nvSpPr>
        <xdr:cNvPr id="2070766" name="Text Box 970"/>
        <xdr:cNvSpPr txBox="1">
          <a:spLocks noChangeArrowheads="1"/>
        </xdr:cNvSpPr>
      </xdr:nvSpPr>
      <xdr:spPr bwMode="auto">
        <a:xfrm>
          <a:off x="3076575" y="54292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77</xdr:row>
      <xdr:rowOff>0</xdr:rowOff>
    </xdr:from>
    <xdr:to>
      <xdr:col>3</xdr:col>
      <xdr:colOff>400050</xdr:colOff>
      <xdr:row>80</xdr:row>
      <xdr:rowOff>28575</xdr:rowOff>
    </xdr:to>
    <xdr:sp macro="" textlink="">
      <xdr:nvSpPr>
        <xdr:cNvPr id="2070767" name="Text Box 314"/>
        <xdr:cNvSpPr txBox="1">
          <a:spLocks noChangeArrowheads="1"/>
        </xdr:cNvSpPr>
      </xdr:nvSpPr>
      <xdr:spPr bwMode="auto">
        <a:xfrm>
          <a:off x="3076575" y="11172825"/>
          <a:ext cx="1047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77</xdr:row>
      <xdr:rowOff>0</xdr:rowOff>
    </xdr:from>
    <xdr:to>
      <xdr:col>3</xdr:col>
      <xdr:colOff>400050</xdr:colOff>
      <xdr:row>80</xdr:row>
      <xdr:rowOff>28575</xdr:rowOff>
    </xdr:to>
    <xdr:sp macro="" textlink="">
      <xdr:nvSpPr>
        <xdr:cNvPr id="2070768" name="Text Box 315"/>
        <xdr:cNvSpPr txBox="1">
          <a:spLocks noChangeArrowheads="1"/>
        </xdr:cNvSpPr>
      </xdr:nvSpPr>
      <xdr:spPr bwMode="auto">
        <a:xfrm>
          <a:off x="3076575" y="11172825"/>
          <a:ext cx="1047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77</xdr:row>
      <xdr:rowOff>0</xdr:rowOff>
    </xdr:from>
    <xdr:to>
      <xdr:col>3</xdr:col>
      <xdr:colOff>400050</xdr:colOff>
      <xdr:row>80</xdr:row>
      <xdr:rowOff>28575</xdr:rowOff>
    </xdr:to>
    <xdr:sp macro="" textlink="">
      <xdr:nvSpPr>
        <xdr:cNvPr id="2070769" name="Text Box 1005"/>
        <xdr:cNvSpPr txBox="1">
          <a:spLocks noChangeArrowheads="1"/>
        </xdr:cNvSpPr>
      </xdr:nvSpPr>
      <xdr:spPr bwMode="auto">
        <a:xfrm>
          <a:off x="3076575" y="11172825"/>
          <a:ext cx="1047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77</xdr:row>
      <xdr:rowOff>0</xdr:rowOff>
    </xdr:from>
    <xdr:to>
      <xdr:col>3</xdr:col>
      <xdr:colOff>400050</xdr:colOff>
      <xdr:row>80</xdr:row>
      <xdr:rowOff>28575</xdr:rowOff>
    </xdr:to>
    <xdr:sp macro="" textlink="">
      <xdr:nvSpPr>
        <xdr:cNvPr id="2070770" name="Text Box 1006"/>
        <xdr:cNvSpPr txBox="1">
          <a:spLocks noChangeArrowheads="1"/>
        </xdr:cNvSpPr>
      </xdr:nvSpPr>
      <xdr:spPr bwMode="auto">
        <a:xfrm>
          <a:off x="3076575" y="11172825"/>
          <a:ext cx="1047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86</xdr:row>
      <xdr:rowOff>0</xdr:rowOff>
    </xdr:from>
    <xdr:to>
      <xdr:col>3</xdr:col>
      <xdr:colOff>400050</xdr:colOff>
      <xdr:row>87</xdr:row>
      <xdr:rowOff>28575</xdr:rowOff>
    </xdr:to>
    <xdr:sp macro="" textlink="">
      <xdr:nvSpPr>
        <xdr:cNvPr id="2070771" name="Text Box 212"/>
        <xdr:cNvSpPr txBox="1">
          <a:spLocks noChangeArrowheads="1"/>
        </xdr:cNvSpPr>
      </xdr:nvSpPr>
      <xdr:spPr bwMode="auto">
        <a:xfrm>
          <a:off x="3076575" y="126301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86</xdr:row>
      <xdr:rowOff>0</xdr:rowOff>
    </xdr:from>
    <xdr:to>
      <xdr:col>3</xdr:col>
      <xdr:colOff>400050</xdr:colOff>
      <xdr:row>87</xdr:row>
      <xdr:rowOff>28575</xdr:rowOff>
    </xdr:to>
    <xdr:sp macro="" textlink="">
      <xdr:nvSpPr>
        <xdr:cNvPr id="2070772" name="Text Box 213"/>
        <xdr:cNvSpPr txBox="1">
          <a:spLocks noChangeArrowheads="1"/>
        </xdr:cNvSpPr>
      </xdr:nvSpPr>
      <xdr:spPr bwMode="auto">
        <a:xfrm>
          <a:off x="3076575" y="126301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86</xdr:row>
      <xdr:rowOff>0</xdr:rowOff>
    </xdr:from>
    <xdr:to>
      <xdr:col>3</xdr:col>
      <xdr:colOff>400050</xdr:colOff>
      <xdr:row>87</xdr:row>
      <xdr:rowOff>28575</xdr:rowOff>
    </xdr:to>
    <xdr:sp macro="" textlink="">
      <xdr:nvSpPr>
        <xdr:cNvPr id="2070773" name="Text Box 1015"/>
        <xdr:cNvSpPr txBox="1">
          <a:spLocks noChangeArrowheads="1"/>
        </xdr:cNvSpPr>
      </xdr:nvSpPr>
      <xdr:spPr bwMode="auto">
        <a:xfrm>
          <a:off x="3076575" y="126301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295275</xdr:colOff>
      <xdr:row>86</xdr:row>
      <xdr:rowOff>0</xdr:rowOff>
    </xdr:from>
    <xdr:to>
      <xdr:col>3</xdr:col>
      <xdr:colOff>400050</xdr:colOff>
      <xdr:row>87</xdr:row>
      <xdr:rowOff>28575</xdr:rowOff>
    </xdr:to>
    <xdr:sp macro="" textlink="">
      <xdr:nvSpPr>
        <xdr:cNvPr id="2070774" name="Text Box 1016"/>
        <xdr:cNvSpPr txBox="1">
          <a:spLocks noChangeArrowheads="1"/>
        </xdr:cNvSpPr>
      </xdr:nvSpPr>
      <xdr:spPr bwMode="auto">
        <a:xfrm>
          <a:off x="3076575" y="126301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352425</xdr:colOff>
      <xdr:row>38</xdr:row>
      <xdr:rowOff>0</xdr:rowOff>
    </xdr:from>
    <xdr:to>
      <xdr:col>4</xdr:col>
      <xdr:colOff>361950</xdr:colOff>
      <xdr:row>39</xdr:row>
      <xdr:rowOff>28575</xdr:rowOff>
    </xdr:to>
    <xdr:sp macro="" textlink="">
      <xdr:nvSpPr>
        <xdr:cNvPr id="2070775" name="Text Box 168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352425</xdr:colOff>
      <xdr:row>38</xdr:row>
      <xdr:rowOff>0</xdr:rowOff>
    </xdr:from>
    <xdr:to>
      <xdr:col>4</xdr:col>
      <xdr:colOff>361950</xdr:colOff>
      <xdr:row>39</xdr:row>
      <xdr:rowOff>28575</xdr:rowOff>
    </xdr:to>
    <xdr:sp macro="" textlink="">
      <xdr:nvSpPr>
        <xdr:cNvPr id="2070776" name="Text Box 169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352425</xdr:colOff>
      <xdr:row>38</xdr:row>
      <xdr:rowOff>0</xdr:rowOff>
    </xdr:from>
    <xdr:to>
      <xdr:col>4</xdr:col>
      <xdr:colOff>361950</xdr:colOff>
      <xdr:row>39</xdr:row>
      <xdr:rowOff>28575</xdr:rowOff>
    </xdr:to>
    <xdr:sp macro="" textlink="">
      <xdr:nvSpPr>
        <xdr:cNvPr id="2070777" name="Text Box 170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352425</xdr:colOff>
      <xdr:row>38</xdr:row>
      <xdr:rowOff>0</xdr:rowOff>
    </xdr:from>
    <xdr:to>
      <xdr:col>4</xdr:col>
      <xdr:colOff>361950</xdr:colOff>
      <xdr:row>39</xdr:row>
      <xdr:rowOff>28575</xdr:rowOff>
    </xdr:to>
    <xdr:sp macro="" textlink="">
      <xdr:nvSpPr>
        <xdr:cNvPr id="2070778" name="Text Box 17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352425</xdr:colOff>
      <xdr:row>38</xdr:row>
      <xdr:rowOff>0</xdr:rowOff>
    </xdr:from>
    <xdr:to>
      <xdr:col>4</xdr:col>
      <xdr:colOff>361950</xdr:colOff>
      <xdr:row>39</xdr:row>
      <xdr:rowOff>28575</xdr:rowOff>
    </xdr:to>
    <xdr:sp macro="" textlink="">
      <xdr:nvSpPr>
        <xdr:cNvPr id="2070779" name="Text Box 172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352425</xdr:colOff>
      <xdr:row>38</xdr:row>
      <xdr:rowOff>0</xdr:rowOff>
    </xdr:from>
    <xdr:to>
      <xdr:col>4</xdr:col>
      <xdr:colOff>361950</xdr:colOff>
      <xdr:row>39</xdr:row>
      <xdr:rowOff>28575</xdr:rowOff>
    </xdr:to>
    <xdr:sp macro="" textlink="">
      <xdr:nvSpPr>
        <xdr:cNvPr id="2070780" name="Text Box 173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352425</xdr:colOff>
      <xdr:row>38</xdr:row>
      <xdr:rowOff>0</xdr:rowOff>
    </xdr:from>
    <xdr:to>
      <xdr:col>4</xdr:col>
      <xdr:colOff>361950</xdr:colOff>
      <xdr:row>39</xdr:row>
      <xdr:rowOff>28575</xdr:rowOff>
    </xdr:to>
    <xdr:sp macro="" textlink="">
      <xdr:nvSpPr>
        <xdr:cNvPr id="2070781" name="Text Box 174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352425</xdr:colOff>
      <xdr:row>38</xdr:row>
      <xdr:rowOff>0</xdr:rowOff>
    </xdr:from>
    <xdr:to>
      <xdr:col>4</xdr:col>
      <xdr:colOff>361950</xdr:colOff>
      <xdr:row>39</xdr:row>
      <xdr:rowOff>28575</xdr:rowOff>
    </xdr:to>
    <xdr:sp macro="" textlink="">
      <xdr:nvSpPr>
        <xdr:cNvPr id="2070782" name="Text Box 175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352425</xdr:colOff>
      <xdr:row>38</xdr:row>
      <xdr:rowOff>0</xdr:rowOff>
    </xdr:from>
    <xdr:to>
      <xdr:col>4</xdr:col>
      <xdr:colOff>361950</xdr:colOff>
      <xdr:row>39</xdr:row>
      <xdr:rowOff>28575</xdr:rowOff>
    </xdr:to>
    <xdr:sp macro="" textlink="">
      <xdr:nvSpPr>
        <xdr:cNvPr id="2070783" name="Text Box 198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352425</xdr:colOff>
      <xdr:row>38</xdr:row>
      <xdr:rowOff>0</xdr:rowOff>
    </xdr:from>
    <xdr:to>
      <xdr:col>4</xdr:col>
      <xdr:colOff>361950</xdr:colOff>
      <xdr:row>39</xdr:row>
      <xdr:rowOff>28575</xdr:rowOff>
    </xdr:to>
    <xdr:sp macro="" textlink="">
      <xdr:nvSpPr>
        <xdr:cNvPr id="2070784" name="Text Box 199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352425</xdr:colOff>
      <xdr:row>38</xdr:row>
      <xdr:rowOff>0</xdr:rowOff>
    </xdr:from>
    <xdr:to>
      <xdr:col>4</xdr:col>
      <xdr:colOff>361950</xdr:colOff>
      <xdr:row>39</xdr:row>
      <xdr:rowOff>28575</xdr:rowOff>
    </xdr:to>
    <xdr:sp macro="" textlink="">
      <xdr:nvSpPr>
        <xdr:cNvPr id="2070785" name="Text Box 200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352425</xdr:colOff>
      <xdr:row>38</xdr:row>
      <xdr:rowOff>0</xdr:rowOff>
    </xdr:from>
    <xdr:to>
      <xdr:col>4</xdr:col>
      <xdr:colOff>361950</xdr:colOff>
      <xdr:row>39</xdr:row>
      <xdr:rowOff>28575</xdr:rowOff>
    </xdr:to>
    <xdr:sp macro="" textlink="">
      <xdr:nvSpPr>
        <xdr:cNvPr id="2070786" name="Text Box 20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352425</xdr:colOff>
      <xdr:row>38</xdr:row>
      <xdr:rowOff>0</xdr:rowOff>
    </xdr:from>
    <xdr:to>
      <xdr:col>4</xdr:col>
      <xdr:colOff>361950</xdr:colOff>
      <xdr:row>39</xdr:row>
      <xdr:rowOff>28575</xdr:rowOff>
    </xdr:to>
    <xdr:sp macro="" textlink="">
      <xdr:nvSpPr>
        <xdr:cNvPr id="2070787" name="Text Box 202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352425</xdr:colOff>
      <xdr:row>38</xdr:row>
      <xdr:rowOff>0</xdr:rowOff>
    </xdr:from>
    <xdr:to>
      <xdr:col>4</xdr:col>
      <xdr:colOff>361950</xdr:colOff>
      <xdr:row>39</xdr:row>
      <xdr:rowOff>28575</xdr:rowOff>
    </xdr:to>
    <xdr:sp macro="" textlink="">
      <xdr:nvSpPr>
        <xdr:cNvPr id="2070788" name="Text Box 203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352425</xdr:colOff>
      <xdr:row>38</xdr:row>
      <xdr:rowOff>0</xdr:rowOff>
    </xdr:from>
    <xdr:to>
      <xdr:col>4</xdr:col>
      <xdr:colOff>361950</xdr:colOff>
      <xdr:row>39</xdr:row>
      <xdr:rowOff>28575</xdr:rowOff>
    </xdr:to>
    <xdr:sp macro="" textlink="">
      <xdr:nvSpPr>
        <xdr:cNvPr id="2070789" name="Text Box 204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352425</xdr:colOff>
      <xdr:row>38</xdr:row>
      <xdr:rowOff>0</xdr:rowOff>
    </xdr:from>
    <xdr:to>
      <xdr:col>4</xdr:col>
      <xdr:colOff>361950</xdr:colOff>
      <xdr:row>39</xdr:row>
      <xdr:rowOff>28575</xdr:rowOff>
    </xdr:to>
    <xdr:sp macro="" textlink="">
      <xdr:nvSpPr>
        <xdr:cNvPr id="2070790" name="Text Box 260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352425</xdr:colOff>
      <xdr:row>38</xdr:row>
      <xdr:rowOff>0</xdr:rowOff>
    </xdr:from>
    <xdr:to>
      <xdr:col>4</xdr:col>
      <xdr:colOff>361950</xdr:colOff>
      <xdr:row>39</xdr:row>
      <xdr:rowOff>28575</xdr:rowOff>
    </xdr:to>
    <xdr:sp macro="" textlink="">
      <xdr:nvSpPr>
        <xdr:cNvPr id="2070791" name="Text Box 26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352425</xdr:colOff>
      <xdr:row>38</xdr:row>
      <xdr:rowOff>0</xdr:rowOff>
    </xdr:from>
    <xdr:to>
      <xdr:col>4</xdr:col>
      <xdr:colOff>361950</xdr:colOff>
      <xdr:row>39</xdr:row>
      <xdr:rowOff>28575</xdr:rowOff>
    </xdr:to>
    <xdr:sp macro="" textlink="">
      <xdr:nvSpPr>
        <xdr:cNvPr id="2070792" name="Text Box 97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352425</xdr:colOff>
      <xdr:row>38</xdr:row>
      <xdr:rowOff>0</xdr:rowOff>
    </xdr:from>
    <xdr:to>
      <xdr:col>4</xdr:col>
      <xdr:colOff>361950</xdr:colOff>
      <xdr:row>39</xdr:row>
      <xdr:rowOff>28575</xdr:rowOff>
    </xdr:to>
    <xdr:sp macro="" textlink="">
      <xdr:nvSpPr>
        <xdr:cNvPr id="2070793" name="Text Box 972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352425</xdr:colOff>
      <xdr:row>38</xdr:row>
      <xdr:rowOff>0</xdr:rowOff>
    </xdr:from>
    <xdr:to>
      <xdr:col>4</xdr:col>
      <xdr:colOff>361950</xdr:colOff>
      <xdr:row>39</xdr:row>
      <xdr:rowOff>28575</xdr:rowOff>
    </xdr:to>
    <xdr:sp macro="" textlink="">
      <xdr:nvSpPr>
        <xdr:cNvPr id="2070794" name="Text Box 973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352425</xdr:colOff>
      <xdr:row>38</xdr:row>
      <xdr:rowOff>0</xdr:rowOff>
    </xdr:from>
    <xdr:to>
      <xdr:col>4</xdr:col>
      <xdr:colOff>361950</xdr:colOff>
      <xdr:row>39</xdr:row>
      <xdr:rowOff>28575</xdr:rowOff>
    </xdr:to>
    <xdr:sp macro="" textlink="">
      <xdr:nvSpPr>
        <xdr:cNvPr id="2070795" name="Text Box 974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295275</xdr:colOff>
      <xdr:row>38</xdr:row>
      <xdr:rowOff>0</xdr:rowOff>
    </xdr:from>
    <xdr:to>
      <xdr:col>4</xdr:col>
      <xdr:colOff>400050</xdr:colOff>
      <xdr:row>39</xdr:row>
      <xdr:rowOff>28575</xdr:rowOff>
    </xdr:to>
    <xdr:sp macro="" textlink="">
      <xdr:nvSpPr>
        <xdr:cNvPr id="2070796" name="Text Box 168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295275</xdr:colOff>
      <xdr:row>38</xdr:row>
      <xdr:rowOff>0</xdr:rowOff>
    </xdr:from>
    <xdr:to>
      <xdr:col>4</xdr:col>
      <xdr:colOff>400050</xdr:colOff>
      <xdr:row>39</xdr:row>
      <xdr:rowOff>28575</xdr:rowOff>
    </xdr:to>
    <xdr:sp macro="" textlink="">
      <xdr:nvSpPr>
        <xdr:cNvPr id="2070797" name="Text Box 169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295275</xdr:colOff>
      <xdr:row>38</xdr:row>
      <xdr:rowOff>0</xdr:rowOff>
    </xdr:from>
    <xdr:to>
      <xdr:col>4</xdr:col>
      <xdr:colOff>400050</xdr:colOff>
      <xdr:row>39</xdr:row>
      <xdr:rowOff>28575</xdr:rowOff>
    </xdr:to>
    <xdr:sp macro="" textlink="">
      <xdr:nvSpPr>
        <xdr:cNvPr id="2070798" name="Text Box 170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295275</xdr:colOff>
      <xdr:row>38</xdr:row>
      <xdr:rowOff>0</xdr:rowOff>
    </xdr:from>
    <xdr:to>
      <xdr:col>4</xdr:col>
      <xdr:colOff>400050</xdr:colOff>
      <xdr:row>39</xdr:row>
      <xdr:rowOff>28575</xdr:rowOff>
    </xdr:to>
    <xdr:sp macro="" textlink="">
      <xdr:nvSpPr>
        <xdr:cNvPr id="2070799" name="Text Box 17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295275</xdr:colOff>
      <xdr:row>38</xdr:row>
      <xdr:rowOff>0</xdr:rowOff>
    </xdr:from>
    <xdr:to>
      <xdr:col>4</xdr:col>
      <xdr:colOff>400050</xdr:colOff>
      <xdr:row>39</xdr:row>
      <xdr:rowOff>28575</xdr:rowOff>
    </xdr:to>
    <xdr:sp macro="" textlink="">
      <xdr:nvSpPr>
        <xdr:cNvPr id="2070800" name="Text Box 172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295275</xdr:colOff>
      <xdr:row>38</xdr:row>
      <xdr:rowOff>0</xdr:rowOff>
    </xdr:from>
    <xdr:to>
      <xdr:col>4</xdr:col>
      <xdr:colOff>400050</xdr:colOff>
      <xdr:row>39</xdr:row>
      <xdr:rowOff>28575</xdr:rowOff>
    </xdr:to>
    <xdr:sp macro="" textlink="">
      <xdr:nvSpPr>
        <xdr:cNvPr id="2070801" name="Text Box 173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295275</xdr:colOff>
      <xdr:row>38</xdr:row>
      <xdr:rowOff>0</xdr:rowOff>
    </xdr:from>
    <xdr:to>
      <xdr:col>4</xdr:col>
      <xdr:colOff>400050</xdr:colOff>
      <xdr:row>39</xdr:row>
      <xdr:rowOff>28575</xdr:rowOff>
    </xdr:to>
    <xdr:sp macro="" textlink="">
      <xdr:nvSpPr>
        <xdr:cNvPr id="2070802" name="Text Box 174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295275</xdr:colOff>
      <xdr:row>38</xdr:row>
      <xdr:rowOff>0</xdr:rowOff>
    </xdr:from>
    <xdr:to>
      <xdr:col>4</xdr:col>
      <xdr:colOff>400050</xdr:colOff>
      <xdr:row>39</xdr:row>
      <xdr:rowOff>28575</xdr:rowOff>
    </xdr:to>
    <xdr:sp macro="" textlink="">
      <xdr:nvSpPr>
        <xdr:cNvPr id="2070803" name="Text Box 175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295275</xdr:colOff>
      <xdr:row>38</xdr:row>
      <xdr:rowOff>0</xdr:rowOff>
    </xdr:from>
    <xdr:to>
      <xdr:col>4</xdr:col>
      <xdr:colOff>400050</xdr:colOff>
      <xdr:row>39</xdr:row>
      <xdr:rowOff>28575</xdr:rowOff>
    </xdr:to>
    <xdr:sp macro="" textlink="">
      <xdr:nvSpPr>
        <xdr:cNvPr id="2070804" name="Text Box 198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295275</xdr:colOff>
      <xdr:row>38</xdr:row>
      <xdr:rowOff>0</xdr:rowOff>
    </xdr:from>
    <xdr:to>
      <xdr:col>4</xdr:col>
      <xdr:colOff>400050</xdr:colOff>
      <xdr:row>39</xdr:row>
      <xdr:rowOff>28575</xdr:rowOff>
    </xdr:to>
    <xdr:sp macro="" textlink="">
      <xdr:nvSpPr>
        <xdr:cNvPr id="2070805" name="Text Box 199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295275</xdr:colOff>
      <xdr:row>38</xdr:row>
      <xdr:rowOff>0</xdr:rowOff>
    </xdr:from>
    <xdr:to>
      <xdr:col>4</xdr:col>
      <xdr:colOff>400050</xdr:colOff>
      <xdr:row>39</xdr:row>
      <xdr:rowOff>28575</xdr:rowOff>
    </xdr:to>
    <xdr:sp macro="" textlink="">
      <xdr:nvSpPr>
        <xdr:cNvPr id="2070806" name="Text Box 200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295275</xdr:colOff>
      <xdr:row>38</xdr:row>
      <xdr:rowOff>0</xdr:rowOff>
    </xdr:from>
    <xdr:to>
      <xdr:col>4</xdr:col>
      <xdr:colOff>400050</xdr:colOff>
      <xdr:row>39</xdr:row>
      <xdr:rowOff>28575</xdr:rowOff>
    </xdr:to>
    <xdr:sp macro="" textlink="">
      <xdr:nvSpPr>
        <xdr:cNvPr id="2070807" name="Text Box 20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295275</xdr:colOff>
      <xdr:row>38</xdr:row>
      <xdr:rowOff>0</xdr:rowOff>
    </xdr:from>
    <xdr:to>
      <xdr:col>4</xdr:col>
      <xdr:colOff>400050</xdr:colOff>
      <xdr:row>39</xdr:row>
      <xdr:rowOff>28575</xdr:rowOff>
    </xdr:to>
    <xdr:sp macro="" textlink="">
      <xdr:nvSpPr>
        <xdr:cNvPr id="2070808" name="Text Box 202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295275</xdr:colOff>
      <xdr:row>38</xdr:row>
      <xdr:rowOff>0</xdr:rowOff>
    </xdr:from>
    <xdr:to>
      <xdr:col>4</xdr:col>
      <xdr:colOff>400050</xdr:colOff>
      <xdr:row>39</xdr:row>
      <xdr:rowOff>28575</xdr:rowOff>
    </xdr:to>
    <xdr:sp macro="" textlink="">
      <xdr:nvSpPr>
        <xdr:cNvPr id="2070809" name="Text Box 203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295275</xdr:colOff>
      <xdr:row>38</xdr:row>
      <xdr:rowOff>0</xdr:rowOff>
    </xdr:from>
    <xdr:to>
      <xdr:col>4</xdr:col>
      <xdr:colOff>400050</xdr:colOff>
      <xdr:row>39</xdr:row>
      <xdr:rowOff>28575</xdr:rowOff>
    </xdr:to>
    <xdr:sp macro="" textlink="">
      <xdr:nvSpPr>
        <xdr:cNvPr id="2070810" name="Text Box 204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295275</xdr:colOff>
      <xdr:row>38</xdr:row>
      <xdr:rowOff>0</xdr:rowOff>
    </xdr:from>
    <xdr:to>
      <xdr:col>4</xdr:col>
      <xdr:colOff>400050</xdr:colOff>
      <xdr:row>39</xdr:row>
      <xdr:rowOff>28575</xdr:rowOff>
    </xdr:to>
    <xdr:sp macro="" textlink="">
      <xdr:nvSpPr>
        <xdr:cNvPr id="2070811" name="Text Box 260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295275</xdr:colOff>
      <xdr:row>38</xdr:row>
      <xdr:rowOff>0</xdr:rowOff>
    </xdr:from>
    <xdr:to>
      <xdr:col>4</xdr:col>
      <xdr:colOff>400050</xdr:colOff>
      <xdr:row>39</xdr:row>
      <xdr:rowOff>28575</xdr:rowOff>
    </xdr:to>
    <xdr:sp macro="" textlink="">
      <xdr:nvSpPr>
        <xdr:cNvPr id="2070812" name="Text Box 26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295275</xdr:colOff>
      <xdr:row>38</xdr:row>
      <xdr:rowOff>0</xdr:rowOff>
    </xdr:from>
    <xdr:to>
      <xdr:col>4</xdr:col>
      <xdr:colOff>400050</xdr:colOff>
      <xdr:row>39</xdr:row>
      <xdr:rowOff>28575</xdr:rowOff>
    </xdr:to>
    <xdr:sp macro="" textlink="">
      <xdr:nvSpPr>
        <xdr:cNvPr id="2070813" name="Text Box 97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295275</xdr:colOff>
      <xdr:row>38</xdr:row>
      <xdr:rowOff>0</xdr:rowOff>
    </xdr:from>
    <xdr:to>
      <xdr:col>4</xdr:col>
      <xdr:colOff>400050</xdr:colOff>
      <xdr:row>39</xdr:row>
      <xdr:rowOff>28575</xdr:rowOff>
    </xdr:to>
    <xdr:sp macro="" textlink="">
      <xdr:nvSpPr>
        <xdr:cNvPr id="2070814" name="Text Box 972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295275</xdr:colOff>
      <xdr:row>38</xdr:row>
      <xdr:rowOff>0</xdr:rowOff>
    </xdr:from>
    <xdr:to>
      <xdr:col>4</xdr:col>
      <xdr:colOff>400050</xdr:colOff>
      <xdr:row>39</xdr:row>
      <xdr:rowOff>28575</xdr:rowOff>
    </xdr:to>
    <xdr:sp macro="" textlink="">
      <xdr:nvSpPr>
        <xdr:cNvPr id="2070815" name="Text Box 973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295275</xdr:colOff>
      <xdr:row>38</xdr:row>
      <xdr:rowOff>0</xdr:rowOff>
    </xdr:from>
    <xdr:to>
      <xdr:col>4</xdr:col>
      <xdr:colOff>400050</xdr:colOff>
      <xdr:row>39</xdr:row>
      <xdr:rowOff>28575</xdr:rowOff>
    </xdr:to>
    <xdr:sp macro="" textlink="">
      <xdr:nvSpPr>
        <xdr:cNvPr id="2070816" name="Text Box 974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352425</xdr:colOff>
      <xdr:row>38</xdr:row>
      <xdr:rowOff>0</xdr:rowOff>
    </xdr:from>
    <xdr:to>
      <xdr:col>5</xdr:col>
      <xdr:colOff>361950</xdr:colOff>
      <xdr:row>39</xdr:row>
      <xdr:rowOff>28575</xdr:rowOff>
    </xdr:to>
    <xdr:sp macro="" textlink="">
      <xdr:nvSpPr>
        <xdr:cNvPr id="2070817" name="Text Box 168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352425</xdr:colOff>
      <xdr:row>38</xdr:row>
      <xdr:rowOff>0</xdr:rowOff>
    </xdr:from>
    <xdr:to>
      <xdr:col>5</xdr:col>
      <xdr:colOff>361950</xdr:colOff>
      <xdr:row>39</xdr:row>
      <xdr:rowOff>28575</xdr:rowOff>
    </xdr:to>
    <xdr:sp macro="" textlink="">
      <xdr:nvSpPr>
        <xdr:cNvPr id="2070818" name="Text Box 169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352425</xdr:colOff>
      <xdr:row>38</xdr:row>
      <xdr:rowOff>0</xdr:rowOff>
    </xdr:from>
    <xdr:to>
      <xdr:col>5</xdr:col>
      <xdr:colOff>361950</xdr:colOff>
      <xdr:row>39</xdr:row>
      <xdr:rowOff>28575</xdr:rowOff>
    </xdr:to>
    <xdr:sp macro="" textlink="">
      <xdr:nvSpPr>
        <xdr:cNvPr id="2070819" name="Text Box 170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352425</xdr:colOff>
      <xdr:row>38</xdr:row>
      <xdr:rowOff>0</xdr:rowOff>
    </xdr:from>
    <xdr:to>
      <xdr:col>5</xdr:col>
      <xdr:colOff>361950</xdr:colOff>
      <xdr:row>39</xdr:row>
      <xdr:rowOff>28575</xdr:rowOff>
    </xdr:to>
    <xdr:sp macro="" textlink="">
      <xdr:nvSpPr>
        <xdr:cNvPr id="2070820" name="Text Box 17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352425</xdr:colOff>
      <xdr:row>38</xdr:row>
      <xdr:rowOff>0</xdr:rowOff>
    </xdr:from>
    <xdr:to>
      <xdr:col>5</xdr:col>
      <xdr:colOff>361950</xdr:colOff>
      <xdr:row>39</xdr:row>
      <xdr:rowOff>28575</xdr:rowOff>
    </xdr:to>
    <xdr:sp macro="" textlink="">
      <xdr:nvSpPr>
        <xdr:cNvPr id="2070821" name="Text Box 172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352425</xdr:colOff>
      <xdr:row>38</xdr:row>
      <xdr:rowOff>0</xdr:rowOff>
    </xdr:from>
    <xdr:to>
      <xdr:col>5</xdr:col>
      <xdr:colOff>361950</xdr:colOff>
      <xdr:row>39</xdr:row>
      <xdr:rowOff>28575</xdr:rowOff>
    </xdr:to>
    <xdr:sp macro="" textlink="">
      <xdr:nvSpPr>
        <xdr:cNvPr id="2070822" name="Text Box 173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352425</xdr:colOff>
      <xdr:row>38</xdr:row>
      <xdr:rowOff>0</xdr:rowOff>
    </xdr:from>
    <xdr:to>
      <xdr:col>5</xdr:col>
      <xdr:colOff>361950</xdr:colOff>
      <xdr:row>39</xdr:row>
      <xdr:rowOff>28575</xdr:rowOff>
    </xdr:to>
    <xdr:sp macro="" textlink="">
      <xdr:nvSpPr>
        <xdr:cNvPr id="2070823" name="Text Box 174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352425</xdr:colOff>
      <xdr:row>38</xdr:row>
      <xdr:rowOff>0</xdr:rowOff>
    </xdr:from>
    <xdr:to>
      <xdr:col>5</xdr:col>
      <xdr:colOff>361950</xdr:colOff>
      <xdr:row>39</xdr:row>
      <xdr:rowOff>28575</xdr:rowOff>
    </xdr:to>
    <xdr:sp macro="" textlink="">
      <xdr:nvSpPr>
        <xdr:cNvPr id="2070824" name="Text Box 175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352425</xdr:colOff>
      <xdr:row>38</xdr:row>
      <xdr:rowOff>0</xdr:rowOff>
    </xdr:from>
    <xdr:to>
      <xdr:col>5</xdr:col>
      <xdr:colOff>361950</xdr:colOff>
      <xdr:row>39</xdr:row>
      <xdr:rowOff>28575</xdr:rowOff>
    </xdr:to>
    <xdr:sp macro="" textlink="">
      <xdr:nvSpPr>
        <xdr:cNvPr id="2070825" name="Text Box 198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352425</xdr:colOff>
      <xdr:row>38</xdr:row>
      <xdr:rowOff>0</xdr:rowOff>
    </xdr:from>
    <xdr:to>
      <xdr:col>5</xdr:col>
      <xdr:colOff>361950</xdr:colOff>
      <xdr:row>39</xdr:row>
      <xdr:rowOff>28575</xdr:rowOff>
    </xdr:to>
    <xdr:sp macro="" textlink="">
      <xdr:nvSpPr>
        <xdr:cNvPr id="2070826" name="Text Box 199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352425</xdr:colOff>
      <xdr:row>38</xdr:row>
      <xdr:rowOff>0</xdr:rowOff>
    </xdr:from>
    <xdr:to>
      <xdr:col>5</xdr:col>
      <xdr:colOff>361950</xdr:colOff>
      <xdr:row>39</xdr:row>
      <xdr:rowOff>28575</xdr:rowOff>
    </xdr:to>
    <xdr:sp macro="" textlink="">
      <xdr:nvSpPr>
        <xdr:cNvPr id="2070827" name="Text Box 200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352425</xdr:colOff>
      <xdr:row>38</xdr:row>
      <xdr:rowOff>0</xdr:rowOff>
    </xdr:from>
    <xdr:to>
      <xdr:col>5</xdr:col>
      <xdr:colOff>361950</xdr:colOff>
      <xdr:row>39</xdr:row>
      <xdr:rowOff>28575</xdr:rowOff>
    </xdr:to>
    <xdr:sp macro="" textlink="">
      <xdr:nvSpPr>
        <xdr:cNvPr id="2070828" name="Text Box 20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352425</xdr:colOff>
      <xdr:row>38</xdr:row>
      <xdr:rowOff>0</xdr:rowOff>
    </xdr:from>
    <xdr:to>
      <xdr:col>5</xdr:col>
      <xdr:colOff>361950</xdr:colOff>
      <xdr:row>39</xdr:row>
      <xdr:rowOff>28575</xdr:rowOff>
    </xdr:to>
    <xdr:sp macro="" textlink="">
      <xdr:nvSpPr>
        <xdr:cNvPr id="2070829" name="Text Box 202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352425</xdr:colOff>
      <xdr:row>38</xdr:row>
      <xdr:rowOff>0</xdr:rowOff>
    </xdr:from>
    <xdr:to>
      <xdr:col>5</xdr:col>
      <xdr:colOff>361950</xdr:colOff>
      <xdr:row>39</xdr:row>
      <xdr:rowOff>28575</xdr:rowOff>
    </xdr:to>
    <xdr:sp macro="" textlink="">
      <xdr:nvSpPr>
        <xdr:cNvPr id="2070830" name="Text Box 203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352425</xdr:colOff>
      <xdr:row>38</xdr:row>
      <xdr:rowOff>0</xdr:rowOff>
    </xdr:from>
    <xdr:to>
      <xdr:col>5</xdr:col>
      <xdr:colOff>361950</xdr:colOff>
      <xdr:row>39</xdr:row>
      <xdr:rowOff>28575</xdr:rowOff>
    </xdr:to>
    <xdr:sp macro="" textlink="">
      <xdr:nvSpPr>
        <xdr:cNvPr id="2070831" name="Text Box 204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352425</xdr:colOff>
      <xdr:row>38</xdr:row>
      <xdr:rowOff>0</xdr:rowOff>
    </xdr:from>
    <xdr:to>
      <xdr:col>5</xdr:col>
      <xdr:colOff>361950</xdr:colOff>
      <xdr:row>39</xdr:row>
      <xdr:rowOff>28575</xdr:rowOff>
    </xdr:to>
    <xdr:sp macro="" textlink="">
      <xdr:nvSpPr>
        <xdr:cNvPr id="2070832" name="Text Box 260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352425</xdr:colOff>
      <xdr:row>38</xdr:row>
      <xdr:rowOff>0</xdr:rowOff>
    </xdr:from>
    <xdr:to>
      <xdr:col>5</xdr:col>
      <xdr:colOff>361950</xdr:colOff>
      <xdr:row>39</xdr:row>
      <xdr:rowOff>28575</xdr:rowOff>
    </xdr:to>
    <xdr:sp macro="" textlink="">
      <xdr:nvSpPr>
        <xdr:cNvPr id="2070833" name="Text Box 26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352425</xdr:colOff>
      <xdr:row>38</xdr:row>
      <xdr:rowOff>0</xdr:rowOff>
    </xdr:from>
    <xdr:to>
      <xdr:col>5</xdr:col>
      <xdr:colOff>361950</xdr:colOff>
      <xdr:row>39</xdr:row>
      <xdr:rowOff>28575</xdr:rowOff>
    </xdr:to>
    <xdr:sp macro="" textlink="">
      <xdr:nvSpPr>
        <xdr:cNvPr id="2070834" name="Text Box 97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352425</xdr:colOff>
      <xdr:row>38</xdr:row>
      <xdr:rowOff>0</xdr:rowOff>
    </xdr:from>
    <xdr:to>
      <xdr:col>5</xdr:col>
      <xdr:colOff>361950</xdr:colOff>
      <xdr:row>39</xdr:row>
      <xdr:rowOff>28575</xdr:rowOff>
    </xdr:to>
    <xdr:sp macro="" textlink="">
      <xdr:nvSpPr>
        <xdr:cNvPr id="2070835" name="Text Box 972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352425</xdr:colOff>
      <xdr:row>38</xdr:row>
      <xdr:rowOff>0</xdr:rowOff>
    </xdr:from>
    <xdr:to>
      <xdr:col>5</xdr:col>
      <xdr:colOff>361950</xdr:colOff>
      <xdr:row>39</xdr:row>
      <xdr:rowOff>28575</xdr:rowOff>
    </xdr:to>
    <xdr:sp macro="" textlink="">
      <xdr:nvSpPr>
        <xdr:cNvPr id="2070836" name="Text Box 973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352425</xdr:colOff>
      <xdr:row>38</xdr:row>
      <xdr:rowOff>0</xdr:rowOff>
    </xdr:from>
    <xdr:to>
      <xdr:col>5</xdr:col>
      <xdr:colOff>361950</xdr:colOff>
      <xdr:row>39</xdr:row>
      <xdr:rowOff>28575</xdr:rowOff>
    </xdr:to>
    <xdr:sp macro="" textlink="">
      <xdr:nvSpPr>
        <xdr:cNvPr id="2070837" name="Text Box 974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295275</xdr:colOff>
      <xdr:row>38</xdr:row>
      <xdr:rowOff>0</xdr:rowOff>
    </xdr:from>
    <xdr:to>
      <xdr:col>5</xdr:col>
      <xdr:colOff>400050</xdr:colOff>
      <xdr:row>39</xdr:row>
      <xdr:rowOff>28575</xdr:rowOff>
    </xdr:to>
    <xdr:sp macro="" textlink="">
      <xdr:nvSpPr>
        <xdr:cNvPr id="2070838" name="Text Box 168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295275</xdr:colOff>
      <xdr:row>38</xdr:row>
      <xdr:rowOff>0</xdr:rowOff>
    </xdr:from>
    <xdr:to>
      <xdr:col>5</xdr:col>
      <xdr:colOff>400050</xdr:colOff>
      <xdr:row>39</xdr:row>
      <xdr:rowOff>28575</xdr:rowOff>
    </xdr:to>
    <xdr:sp macro="" textlink="">
      <xdr:nvSpPr>
        <xdr:cNvPr id="2070839" name="Text Box 169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295275</xdr:colOff>
      <xdr:row>38</xdr:row>
      <xdr:rowOff>0</xdr:rowOff>
    </xdr:from>
    <xdr:to>
      <xdr:col>5</xdr:col>
      <xdr:colOff>400050</xdr:colOff>
      <xdr:row>39</xdr:row>
      <xdr:rowOff>28575</xdr:rowOff>
    </xdr:to>
    <xdr:sp macro="" textlink="">
      <xdr:nvSpPr>
        <xdr:cNvPr id="2070840" name="Text Box 170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295275</xdr:colOff>
      <xdr:row>38</xdr:row>
      <xdr:rowOff>0</xdr:rowOff>
    </xdr:from>
    <xdr:to>
      <xdr:col>5</xdr:col>
      <xdr:colOff>400050</xdr:colOff>
      <xdr:row>39</xdr:row>
      <xdr:rowOff>28575</xdr:rowOff>
    </xdr:to>
    <xdr:sp macro="" textlink="">
      <xdr:nvSpPr>
        <xdr:cNvPr id="2070841" name="Text Box 17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295275</xdr:colOff>
      <xdr:row>38</xdr:row>
      <xdr:rowOff>0</xdr:rowOff>
    </xdr:from>
    <xdr:to>
      <xdr:col>5</xdr:col>
      <xdr:colOff>400050</xdr:colOff>
      <xdr:row>39</xdr:row>
      <xdr:rowOff>28575</xdr:rowOff>
    </xdr:to>
    <xdr:sp macro="" textlink="">
      <xdr:nvSpPr>
        <xdr:cNvPr id="2070842" name="Text Box 172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295275</xdr:colOff>
      <xdr:row>38</xdr:row>
      <xdr:rowOff>0</xdr:rowOff>
    </xdr:from>
    <xdr:to>
      <xdr:col>5</xdr:col>
      <xdr:colOff>400050</xdr:colOff>
      <xdr:row>39</xdr:row>
      <xdr:rowOff>28575</xdr:rowOff>
    </xdr:to>
    <xdr:sp macro="" textlink="">
      <xdr:nvSpPr>
        <xdr:cNvPr id="2070843" name="Text Box 173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295275</xdr:colOff>
      <xdr:row>38</xdr:row>
      <xdr:rowOff>0</xdr:rowOff>
    </xdr:from>
    <xdr:to>
      <xdr:col>5</xdr:col>
      <xdr:colOff>400050</xdr:colOff>
      <xdr:row>39</xdr:row>
      <xdr:rowOff>28575</xdr:rowOff>
    </xdr:to>
    <xdr:sp macro="" textlink="">
      <xdr:nvSpPr>
        <xdr:cNvPr id="2070844" name="Text Box 174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295275</xdr:colOff>
      <xdr:row>38</xdr:row>
      <xdr:rowOff>0</xdr:rowOff>
    </xdr:from>
    <xdr:to>
      <xdr:col>5</xdr:col>
      <xdr:colOff>400050</xdr:colOff>
      <xdr:row>39</xdr:row>
      <xdr:rowOff>28575</xdr:rowOff>
    </xdr:to>
    <xdr:sp macro="" textlink="">
      <xdr:nvSpPr>
        <xdr:cNvPr id="2070845" name="Text Box 175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295275</xdr:colOff>
      <xdr:row>38</xdr:row>
      <xdr:rowOff>0</xdr:rowOff>
    </xdr:from>
    <xdr:to>
      <xdr:col>5</xdr:col>
      <xdr:colOff>400050</xdr:colOff>
      <xdr:row>39</xdr:row>
      <xdr:rowOff>28575</xdr:rowOff>
    </xdr:to>
    <xdr:sp macro="" textlink="">
      <xdr:nvSpPr>
        <xdr:cNvPr id="2070846" name="Text Box 198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295275</xdr:colOff>
      <xdr:row>38</xdr:row>
      <xdr:rowOff>0</xdr:rowOff>
    </xdr:from>
    <xdr:to>
      <xdr:col>5</xdr:col>
      <xdr:colOff>400050</xdr:colOff>
      <xdr:row>39</xdr:row>
      <xdr:rowOff>28575</xdr:rowOff>
    </xdr:to>
    <xdr:sp macro="" textlink="">
      <xdr:nvSpPr>
        <xdr:cNvPr id="2070847" name="Text Box 199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295275</xdr:colOff>
      <xdr:row>38</xdr:row>
      <xdr:rowOff>0</xdr:rowOff>
    </xdr:from>
    <xdr:to>
      <xdr:col>5</xdr:col>
      <xdr:colOff>400050</xdr:colOff>
      <xdr:row>39</xdr:row>
      <xdr:rowOff>28575</xdr:rowOff>
    </xdr:to>
    <xdr:sp macro="" textlink="">
      <xdr:nvSpPr>
        <xdr:cNvPr id="2070848" name="Text Box 200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295275</xdr:colOff>
      <xdr:row>38</xdr:row>
      <xdr:rowOff>0</xdr:rowOff>
    </xdr:from>
    <xdr:to>
      <xdr:col>5</xdr:col>
      <xdr:colOff>400050</xdr:colOff>
      <xdr:row>39</xdr:row>
      <xdr:rowOff>28575</xdr:rowOff>
    </xdr:to>
    <xdr:sp macro="" textlink="">
      <xdr:nvSpPr>
        <xdr:cNvPr id="2070849" name="Text Box 20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295275</xdr:colOff>
      <xdr:row>38</xdr:row>
      <xdr:rowOff>0</xdr:rowOff>
    </xdr:from>
    <xdr:to>
      <xdr:col>5</xdr:col>
      <xdr:colOff>400050</xdr:colOff>
      <xdr:row>39</xdr:row>
      <xdr:rowOff>28575</xdr:rowOff>
    </xdr:to>
    <xdr:sp macro="" textlink="">
      <xdr:nvSpPr>
        <xdr:cNvPr id="2070850" name="Text Box 202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295275</xdr:colOff>
      <xdr:row>38</xdr:row>
      <xdr:rowOff>0</xdr:rowOff>
    </xdr:from>
    <xdr:to>
      <xdr:col>5</xdr:col>
      <xdr:colOff>400050</xdr:colOff>
      <xdr:row>39</xdr:row>
      <xdr:rowOff>28575</xdr:rowOff>
    </xdr:to>
    <xdr:sp macro="" textlink="">
      <xdr:nvSpPr>
        <xdr:cNvPr id="2070851" name="Text Box 203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295275</xdr:colOff>
      <xdr:row>38</xdr:row>
      <xdr:rowOff>0</xdr:rowOff>
    </xdr:from>
    <xdr:to>
      <xdr:col>5</xdr:col>
      <xdr:colOff>400050</xdr:colOff>
      <xdr:row>39</xdr:row>
      <xdr:rowOff>28575</xdr:rowOff>
    </xdr:to>
    <xdr:sp macro="" textlink="">
      <xdr:nvSpPr>
        <xdr:cNvPr id="2070852" name="Text Box 204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295275</xdr:colOff>
      <xdr:row>38</xdr:row>
      <xdr:rowOff>0</xdr:rowOff>
    </xdr:from>
    <xdr:to>
      <xdr:col>5</xdr:col>
      <xdr:colOff>400050</xdr:colOff>
      <xdr:row>39</xdr:row>
      <xdr:rowOff>28575</xdr:rowOff>
    </xdr:to>
    <xdr:sp macro="" textlink="">
      <xdr:nvSpPr>
        <xdr:cNvPr id="2070853" name="Text Box 260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295275</xdr:colOff>
      <xdr:row>38</xdr:row>
      <xdr:rowOff>0</xdr:rowOff>
    </xdr:from>
    <xdr:to>
      <xdr:col>5</xdr:col>
      <xdr:colOff>400050</xdr:colOff>
      <xdr:row>39</xdr:row>
      <xdr:rowOff>28575</xdr:rowOff>
    </xdr:to>
    <xdr:sp macro="" textlink="">
      <xdr:nvSpPr>
        <xdr:cNvPr id="2070854" name="Text Box 26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295275</xdr:colOff>
      <xdr:row>38</xdr:row>
      <xdr:rowOff>0</xdr:rowOff>
    </xdr:from>
    <xdr:to>
      <xdr:col>5</xdr:col>
      <xdr:colOff>400050</xdr:colOff>
      <xdr:row>39</xdr:row>
      <xdr:rowOff>28575</xdr:rowOff>
    </xdr:to>
    <xdr:sp macro="" textlink="">
      <xdr:nvSpPr>
        <xdr:cNvPr id="2070855" name="Text Box 97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295275</xdr:colOff>
      <xdr:row>38</xdr:row>
      <xdr:rowOff>0</xdr:rowOff>
    </xdr:from>
    <xdr:to>
      <xdr:col>5</xdr:col>
      <xdr:colOff>400050</xdr:colOff>
      <xdr:row>39</xdr:row>
      <xdr:rowOff>28575</xdr:rowOff>
    </xdr:to>
    <xdr:sp macro="" textlink="">
      <xdr:nvSpPr>
        <xdr:cNvPr id="2070856" name="Text Box 972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295275</xdr:colOff>
      <xdr:row>38</xdr:row>
      <xdr:rowOff>0</xdr:rowOff>
    </xdr:from>
    <xdr:to>
      <xdr:col>5</xdr:col>
      <xdr:colOff>400050</xdr:colOff>
      <xdr:row>39</xdr:row>
      <xdr:rowOff>28575</xdr:rowOff>
    </xdr:to>
    <xdr:sp macro="" textlink="">
      <xdr:nvSpPr>
        <xdr:cNvPr id="2070857" name="Text Box 973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295275</xdr:colOff>
      <xdr:row>38</xdr:row>
      <xdr:rowOff>0</xdr:rowOff>
    </xdr:from>
    <xdr:to>
      <xdr:col>5</xdr:col>
      <xdr:colOff>400050</xdr:colOff>
      <xdr:row>39</xdr:row>
      <xdr:rowOff>28575</xdr:rowOff>
    </xdr:to>
    <xdr:sp macro="" textlink="">
      <xdr:nvSpPr>
        <xdr:cNvPr id="2070858" name="Text Box 974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352425</xdr:colOff>
      <xdr:row>38</xdr:row>
      <xdr:rowOff>0</xdr:rowOff>
    </xdr:from>
    <xdr:to>
      <xdr:col>6</xdr:col>
      <xdr:colOff>361950</xdr:colOff>
      <xdr:row>39</xdr:row>
      <xdr:rowOff>28575</xdr:rowOff>
    </xdr:to>
    <xdr:sp macro="" textlink="">
      <xdr:nvSpPr>
        <xdr:cNvPr id="2070859" name="Text Box 168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352425</xdr:colOff>
      <xdr:row>38</xdr:row>
      <xdr:rowOff>0</xdr:rowOff>
    </xdr:from>
    <xdr:to>
      <xdr:col>6</xdr:col>
      <xdr:colOff>361950</xdr:colOff>
      <xdr:row>39</xdr:row>
      <xdr:rowOff>28575</xdr:rowOff>
    </xdr:to>
    <xdr:sp macro="" textlink="">
      <xdr:nvSpPr>
        <xdr:cNvPr id="2070860" name="Text Box 169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352425</xdr:colOff>
      <xdr:row>38</xdr:row>
      <xdr:rowOff>0</xdr:rowOff>
    </xdr:from>
    <xdr:to>
      <xdr:col>6</xdr:col>
      <xdr:colOff>361950</xdr:colOff>
      <xdr:row>39</xdr:row>
      <xdr:rowOff>28575</xdr:rowOff>
    </xdr:to>
    <xdr:sp macro="" textlink="">
      <xdr:nvSpPr>
        <xdr:cNvPr id="2070861" name="Text Box 170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352425</xdr:colOff>
      <xdr:row>38</xdr:row>
      <xdr:rowOff>0</xdr:rowOff>
    </xdr:from>
    <xdr:to>
      <xdr:col>6</xdr:col>
      <xdr:colOff>361950</xdr:colOff>
      <xdr:row>39</xdr:row>
      <xdr:rowOff>28575</xdr:rowOff>
    </xdr:to>
    <xdr:sp macro="" textlink="">
      <xdr:nvSpPr>
        <xdr:cNvPr id="2070862" name="Text Box 17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352425</xdr:colOff>
      <xdr:row>38</xdr:row>
      <xdr:rowOff>0</xdr:rowOff>
    </xdr:from>
    <xdr:to>
      <xdr:col>6</xdr:col>
      <xdr:colOff>361950</xdr:colOff>
      <xdr:row>39</xdr:row>
      <xdr:rowOff>28575</xdr:rowOff>
    </xdr:to>
    <xdr:sp macro="" textlink="">
      <xdr:nvSpPr>
        <xdr:cNvPr id="2070863" name="Text Box 172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352425</xdr:colOff>
      <xdr:row>38</xdr:row>
      <xdr:rowOff>0</xdr:rowOff>
    </xdr:from>
    <xdr:to>
      <xdr:col>6</xdr:col>
      <xdr:colOff>361950</xdr:colOff>
      <xdr:row>39</xdr:row>
      <xdr:rowOff>28575</xdr:rowOff>
    </xdr:to>
    <xdr:sp macro="" textlink="">
      <xdr:nvSpPr>
        <xdr:cNvPr id="2070864" name="Text Box 173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352425</xdr:colOff>
      <xdr:row>38</xdr:row>
      <xdr:rowOff>0</xdr:rowOff>
    </xdr:from>
    <xdr:to>
      <xdr:col>6</xdr:col>
      <xdr:colOff>361950</xdr:colOff>
      <xdr:row>39</xdr:row>
      <xdr:rowOff>28575</xdr:rowOff>
    </xdr:to>
    <xdr:sp macro="" textlink="">
      <xdr:nvSpPr>
        <xdr:cNvPr id="2070865" name="Text Box 174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352425</xdr:colOff>
      <xdr:row>38</xdr:row>
      <xdr:rowOff>0</xdr:rowOff>
    </xdr:from>
    <xdr:to>
      <xdr:col>6</xdr:col>
      <xdr:colOff>361950</xdr:colOff>
      <xdr:row>39</xdr:row>
      <xdr:rowOff>28575</xdr:rowOff>
    </xdr:to>
    <xdr:sp macro="" textlink="">
      <xdr:nvSpPr>
        <xdr:cNvPr id="2070866" name="Text Box 175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352425</xdr:colOff>
      <xdr:row>38</xdr:row>
      <xdr:rowOff>0</xdr:rowOff>
    </xdr:from>
    <xdr:to>
      <xdr:col>6</xdr:col>
      <xdr:colOff>361950</xdr:colOff>
      <xdr:row>39</xdr:row>
      <xdr:rowOff>28575</xdr:rowOff>
    </xdr:to>
    <xdr:sp macro="" textlink="">
      <xdr:nvSpPr>
        <xdr:cNvPr id="2070867" name="Text Box 198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352425</xdr:colOff>
      <xdr:row>38</xdr:row>
      <xdr:rowOff>0</xdr:rowOff>
    </xdr:from>
    <xdr:to>
      <xdr:col>6</xdr:col>
      <xdr:colOff>361950</xdr:colOff>
      <xdr:row>39</xdr:row>
      <xdr:rowOff>28575</xdr:rowOff>
    </xdr:to>
    <xdr:sp macro="" textlink="">
      <xdr:nvSpPr>
        <xdr:cNvPr id="2070868" name="Text Box 199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352425</xdr:colOff>
      <xdr:row>38</xdr:row>
      <xdr:rowOff>0</xdr:rowOff>
    </xdr:from>
    <xdr:to>
      <xdr:col>6</xdr:col>
      <xdr:colOff>361950</xdr:colOff>
      <xdr:row>39</xdr:row>
      <xdr:rowOff>28575</xdr:rowOff>
    </xdr:to>
    <xdr:sp macro="" textlink="">
      <xdr:nvSpPr>
        <xdr:cNvPr id="2070869" name="Text Box 200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352425</xdr:colOff>
      <xdr:row>38</xdr:row>
      <xdr:rowOff>0</xdr:rowOff>
    </xdr:from>
    <xdr:to>
      <xdr:col>6</xdr:col>
      <xdr:colOff>361950</xdr:colOff>
      <xdr:row>39</xdr:row>
      <xdr:rowOff>28575</xdr:rowOff>
    </xdr:to>
    <xdr:sp macro="" textlink="">
      <xdr:nvSpPr>
        <xdr:cNvPr id="2070870" name="Text Box 20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352425</xdr:colOff>
      <xdr:row>38</xdr:row>
      <xdr:rowOff>0</xdr:rowOff>
    </xdr:from>
    <xdr:to>
      <xdr:col>6</xdr:col>
      <xdr:colOff>361950</xdr:colOff>
      <xdr:row>39</xdr:row>
      <xdr:rowOff>28575</xdr:rowOff>
    </xdr:to>
    <xdr:sp macro="" textlink="">
      <xdr:nvSpPr>
        <xdr:cNvPr id="2070871" name="Text Box 202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352425</xdr:colOff>
      <xdr:row>38</xdr:row>
      <xdr:rowOff>0</xdr:rowOff>
    </xdr:from>
    <xdr:to>
      <xdr:col>6</xdr:col>
      <xdr:colOff>361950</xdr:colOff>
      <xdr:row>39</xdr:row>
      <xdr:rowOff>28575</xdr:rowOff>
    </xdr:to>
    <xdr:sp macro="" textlink="">
      <xdr:nvSpPr>
        <xdr:cNvPr id="2070872" name="Text Box 203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352425</xdr:colOff>
      <xdr:row>38</xdr:row>
      <xdr:rowOff>0</xdr:rowOff>
    </xdr:from>
    <xdr:to>
      <xdr:col>6</xdr:col>
      <xdr:colOff>361950</xdr:colOff>
      <xdr:row>39</xdr:row>
      <xdr:rowOff>28575</xdr:rowOff>
    </xdr:to>
    <xdr:sp macro="" textlink="">
      <xdr:nvSpPr>
        <xdr:cNvPr id="2070873" name="Text Box 204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352425</xdr:colOff>
      <xdr:row>38</xdr:row>
      <xdr:rowOff>0</xdr:rowOff>
    </xdr:from>
    <xdr:to>
      <xdr:col>6</xdr:col>
      <xdr:colOff>361950</xdr:colOff>
      <xdr:row>39</xdr:row>
      <xdr:rowOff>28575</xdr:rowOff>
    </xdr:to>
    <xdr:sp macro="" textlink="">
      <xdr:nvSpPr>
        <xdr:cNvPr id="2070874" name="Text Box 260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352425</xdr:colOff>
      <xdr:row>38</xdr:row>
      <xdr:rowOff>0</xdr:rowOff>
    </xdr:from>
    <xdr:to>
      <xdr:col>6</xdr:col>
      <xdr:colOff>361950</xdr:colOff>
      <xdr:row>39</xdr:row>
      <xdr:rowOff>28575</xdr:rowOff>
    </xdr:to>
    <xdr:sp macro="" textlink="">
      <xdr:nvSpPr>
        <xdr:cNvPr id="2070875" name="Text Box 26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352425</xdr:colOff>
      <xdr:row>38</xdr:row>
      <xdr:rowOff>0</xdr:rowOff>
    </xdr:from>
    <xdr:to>
      <xdr:col>6</xdr:col>
      <xdr:colOff>361950</xdr:colOff>
      <xdr:row>39</xdr:row>
      <xdr:rowOff>28575</xdr:rowOff>
    </xdr:to>
    <xdr:sp macro="" textlink="">
      <xdr:nvSpPr>
        <xdr:cNvPr id="2070876" name="Text Box 97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352425</xdr:colOff>
      <xdr:row>38</xdr:row>
      <xdr:rowOff>0</xdr:rowOff>
    </xdr:from>
    <xdr:to>
      <xdr:col>6</xdr:col>
      <xdr:colOff>361950</xdr:colOff>
      <xdr:row>39</xdr:row>
      <xdr:rowOff>28575</xdr:rowOff>
    </xdr:to>
    <xdr:sp macro="" textlink="">
      <xdr:nvSpPr>
        <xdr:cNvPr id="2070877" name="Text Box 972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352425</xdr:colOff>
      <xdr:row>38</xdr:row>
      <xdr:rowOff>0</xdr:rowOff>
    </xdr:from>
    <xdr:to>
      <xdr:col>6</xdr:col>
      <xdr:colOff>361950</xdr:colOff>
      <xdr:row>39</xdr:row>
      <xdr:rowOff>28575</xdr:rowOff>
    </xdr:to>
    <xdr:sp macro="" textlink="">
      <xdr:nvSpPr>
        <xdr:cNvPr id="2070878" name="Text Box 973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352425</xdr:colOff>
      <xdr:row>38</xdr:row>
      <xdr:rowOff>0</xdr:rowOff>
    </xdr:from>
    <xdr:to>
      <xdr:col>6</xdr:col>
      <xdr:colOff>361950</xdr:colOff>
      <xdr:row>39</xdr:row>
      <xdr:rowOff>28575</xdr:rowOff>
    </xdr:to>
    <xdr:sp macro="" textlink="">
      <xdr:nvSpPr>
        <xdr:cNvPr id="2070879" name="Text Box 974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295275</xdr:colOff>
      <xdr:row>38</xdr:row>
      <xdr:rowOff>0</xdr:rowOff>
    </xdr:from>
    <xdr:to>
      <xdr:col>6</xdr:col>
      <xdr:colOff>400050</xdr:colOff>
      <xdr:row>39</xdr:row>
      <xdr:rowOff>28575</xdr:rowOff>
    </xdr:to>
    <xdr:sp macro="" textlink="">
      <xdr:nvSpPr>
        <xdr:cNvPr id="2070880" name="Text Box 168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295275</xdr:colOff>
      <xdr:row>38</xdr:row>
      <xdr:rowOff>0</xdr:rowOff>
    </xdr:from>
    <xdr:to>
      <xdr:col>6</xdr:col>
      <xdr:colOff>400050</xdr:colOff>
      <xdr:row>39</xdr:row>
      <xdr:rowOff>28575</xdr:rowOff>
    </xdr:to>
    <xdr:sp macro="" textlink="">
      <xdr:nvSpPr>
        <xdr:cNvPr id="2070881" name="Text Box 169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295275</xdr:colOff>
      <xdr:row>38</xdr:row>
      <xdr:rowOff>0</xdr:rowOff>
    </xdr:from>
    <xdr:to>
      <xdr:col>6</xdr:col>
      <xdr:colOff>400050</xdr:colOff>
      <xdr:row>39</xdr:row>
      <xdr:rowOff>28575</xdr:rowOff>
    </xdr:to>
    <xdr:sp macro="" textlink="">
      <xdr:nvSpPr>
        <xdr:cNvPr id="2070882" name="Text Box 170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295275</xdr:colOff>
      <xdr:row>38</xdr:row>
      <xdr:rowOff>0</xdr:rowOff>
    </xdr:from>
    <xdr:to>
      <xdr:col>6</xdr:col>
      <xdr:colOff>400050</xdr:colOff>
      <xdr:row>39</xdr:row>
      <xdr:rowOff>28575</xdr:rowOff>
    </xdr:to>
    <xdr:sp macro="" textlink="">
      <xdr:nvSpPr>
        <xdr:cNvPr id="2070883" name="Text Box 17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295275</xdr:colOff>
      <xdr:row>38</xdr:row>
      <xdr:rowOff>0</xdr:rowOff>
    </xdr:from>
    <xdr:to>
      <xdr:col>6</xdr:col>
      <xdr:colOff>400050</xdr:colOff>
      <xdr:row>39</xdr:row>
      <xdr:rowOff>28575</xdr:rowOff>
    </xdr:to>
    <xdr:sp macro="" textlink="">
      <xdr:nvSpPr>
        <xdr:cNvPr id="2070884" name="Text Box 172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295275</xdr:colOff>
      <xdr:row>38</xdr:row>
      <xdr:rowOff>0</xdr:rowOff>
    </xdr:from>
    <xdr:to>
      <xdr:col>6</xdr:col>
      <xdr:colOff>400050</xdr:colOff>
      <xdr:row>39</xdr:row>
      <xdr:rowOff>28575</xdr:rowOff>
    </xdr:to>
    <xdr:sp macro="" textlink="">
      <xdr:nvSpPr>
        <xdr:cNvPr id="2070885" name="Text Box 173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295275</xdr:colOff>
      <xdr:row>38</xdr:row>
      <xdr:rowOff>0</xdr:rowOff>
    </xdr:from>
    <xdr:to>
      <xdr:col>6</xdr:col>
      <xdr:colOff>400050</xdr:colOff>
      <xdr:row>39</xdr:row>
      <xdr:rowOff>28575</xdr:rowOff>
    </xdr:to>
    <xdr:sp macro="" textlink="">
      <xdr:nvSpPr>
        <xdr:cNvPr id="2070886" name="Text Box 174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295275</xdr:colOff>
      <xdr:row>38</xdr:row>
      <xdr:rowOff>0</xdr:rowOff>
    </xdr:from>
    <xdr:to>
      <xdr:col>6</xdr:col>
      <xdr:colOff>400050</xdr:colOff>
      <xdr:row>39</xdr:row>
      <xdr:rowOff>28575</xdr:rowOff>
    </xdr:to>
    <xdr:sp macro="" textlink="">
      <xdr:nvSpPr>
        <xdr:cNvPr id="2070887" name="Text Box 175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295275</xdr:colOff>
      <xdr:row>38</xdr:row>
      <xdr:rowOff>0</xdr:rowOff>
    </xdr:from>
    <xdr:to>
      <xdr:col>6</xdr:col>
      <xdr:colOff>400050</xdr:colOff>
      <xdr:row>39</xdr:row>
      <xdr:rowOff>28575</xdr:rowOff>
    </xdr:to>
    <xdr:sp macro="" textlink="">
      <xdr:nvSpPr>
        <xdr:cNvPr id="2070888" name="Text Box 198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295275</xdr:colOff>
      <xdr:row>38</xdr:row>
      <xdr:rowOff>0</xdr:rowOff>
    </xdr:from>
    <xdr:to>
      <xdr:col>6</xdr:col>
      <xdr:colOff>400050</xdr:colOff>
      <xdr:row>39</xdr:row>
      <xdr:rowOff>28575</xdr:rowOff>
    </xdr:to>
    <xdr:sp macro="" textlink="">
      <xdr:nvSpPr>
        <xdr:cNvPr id="2070889" name="Text Box 199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295275</xdr:colOff>
      <xdr:row>38</xdr:row>
      <xdr:rowOff>0</xdr:rowOff>
    </xdr:from>
    <xdr:to>
      <xdr:col>6</xdr:col>
      <xdr:colOff>400050</xdr:colOff>
      <xdr:row>39</xdr:row>
      <xdr:rowOff>28575</xdr:rowOff>
    </xdr:to>
    <xdr:sp macro="" textlink="">
      <xdr:nvSpPr>
        <xdr:cNvPr id="2070890" name="Text Box 200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295275</xdr:colOff>
      <xdr:row>38</xdr:row>
      <xdr:rowOff>0</xdr:rowOff>
    </xdr:from>
    <xdr:to>
      <xdr:col>6</xdr:col>
      <xdr:colOff>400050</xdr:colOff>
      <xdr:row>39</xdr:row>
      <xdr:rowOff>28575</xdr:rowOff>
    </xdr:to>
    <xdr:sp macro="" textlink="">
      <xdr:nvSpPr>
        <xdr:cNvPr id="2070891" name="Text Box 20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295275</xdr:colOff>
      <xdr:row>38</xdr:row>
      <xdr:rowOff>0</xdr:rowOff>
    </xdr:from>
    <xdr:to>
      <xdr:col>6</xdr:col>
      <xdr:colOff>400050</xdr:colOff>
      <xdr:row>39</xdr:row>
      <xdr:rowOff>28575</xdr:rowOff>
    </xdr:to>
    <xdr:sp macro="" textlink="">
      <xdr:nvSpPr>
        <xdr:cNvPr id="2070892" name="Text Box 202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295275</xdr:colOff>
      <xdr:row>38</xdr:row>
      <xdr:rowOff>0</xdr:rowOff>
    </xdr:from>
    <xdr:to>
      <xdr:col>6</xdr:col>
      <xdr:colOff>400050</xdr:colOff>
      <xdr:row>39</xdr:row>
      <xdr:rowOff>28575</xdr:rowOff>
    </xdr:to>
    <xdr:sp macro="" textlink="">
      <xdr:nvSpPr>
        <xdr:cNvPr id="2070893" name="Text Box 203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295275</xdr:colOff>
      <xdr:row>38</xdr:row>
      <xdr:rowOff>0</xdr:rowOff>
    </xdr:from>
    <xdr:to>
      <xdr:col>6</xdr:col>
      <xdr:colOff>400050</xdr:colOff>
      <xdr:row>39</xdr:row>
      <xdr:rowOff>28575</xdr:rowOff>
    </xdr:to>
    <xdr:sp macro="" textlink="">
      <xdr:nvSpPr>
        <xdr:cNvPr id="2070894" name="Text Box 204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295275</xdr:colOff>
      <xdr:row>38</xdr:row>
      <xdr:rowOff>0</xdr:rowOff>
    </xdr:from>
    <xdr:to>
      <xdr:col>6</xdr:col>
      <xdr:colOff>400050</xdr:colOff>
      <xdr:row>39</xdr:row>
      <xdr:rowOff>28575</xdr:rowOff>
    </xdr:to>
    <xdr:sp macro="" textlink="">
      <xdr:nvSpPr>
        <xdr:cNvPr id="2070895" name="Text Box 260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295275</xdr:colOff>
      <xdr:row>38</xdr:row>
      <xdr:rowOff>0</xdr:rowOff>
    </xdr:from>
    <xdr:to>
      <xdr:col>6</xdr:col>
      <xdr:colOff>400050</xdr:colOff>
      <xdr:row>39</xdr:row>
      <xdr:rowOff>28575</xdr:rowOff>
    </xdr:to>
    <xdr:sp macro="" textlink="">
      <xdr:nvSpPr>
        <xdr:cNvPr id="2070896" name="Text Box 26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295275</xdr:colOff>
      <xdr:row>38</xdr:row>
      <xdr:rowOff>0</xdr:rowOff>
    </xdr:from>
    <xdr:to>
      <xdr:col>6</xdr:col>
      <xdr:colOff>400050</xdr:colOff>
      <xdr:row>39</xdr:row>
      <xdr:rowOff>28575</xdr:rowOff>
    </xdr:to>
    <xdr:sp macro="" textlink="">
      <xdr:nvSpPr>
        <xdr:cNvPr id="2070897" name="Text Box 97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295275</xdr:colOff>
      <xdr:row>38</xdr:row>
      <xdr:rowOff>0</xdr:rowOff>
    </xdr:from>
    <xdr:to>
      <xdr:col>6</xdr:col>
      <xdr:colOff>400050</xdr:colOff>
      <xdr:row>39</xdr:row>
      <xdr:rowOff>28575</xdr:rowOff>
    </xdr:to>
    <xdr:sp macro="" textlink="">
      <xdr:nvSpPr>
        <xdr:cNvPr id="2070898" name="Text Box 972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295275</xdr:colOff>
      <xdr:row>38</xdr:row>
      <xdr:rowOff>0</xdr:rowOff>
    </xdr:from>
    <xdr:to>
      <xdr:col>6</xdr:col>
      <xdr:colOff>400050</xdr:colOff>
      <xdr:row>39</xdr:row>
      <xdr:rowOff>28575</xdr:rowOff>
    </xdr:to>
    <xdr:sp macro="" textlink="">
      <xdr:nvSpPr>
        <xdr:cNvPr id="2070899" name="Text Box 973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295275</xdr:colOff>
      <xdr:row>38</xdr:row>
      <xdr:rowOff>0</xdr:rowOff>
    </xdr:from>
    <xdr:to>
      <xdr:col>6</xdr:col>
      <xdr:colOff>400050</xdr:colOff>
      <xdr:row>39</xdr:row>
      <xdr:rowOff>28575</xdr:rowOff>
    </xdr:to>
    <xdr:sp macro="" textlink="">
      <xdr:nvSpPr>
        <xdr:cNvPr id="2070900" name="Text Box 974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352425</xdr:colOff>
      <xdr:row>38</xdr:row>
      <xdr:rowOff>0</xdr:rowOff>
    </xdr:from>
    <xdr:to>
      <xdr:col>7</xdr:col>
      <xdr:colOff>361950</xdr:colOff>
      <xdr:row>39</xdr:row>
      <xdr:rowOff>28575</xdr:rowOff>
    </xdr:to>
    <xdr:sp macro="" textlink="">
      <xdr:nvSpPr>
        <xdr:cNvPr id="2070901" name="Text Box 168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352425</xdr:colOff>
      <xdr:row>38</xdr:row>
      <xdr:rowOff>0</xdr:rowOff>
    </xdr:from>
    <xdr:to>
      <xdr:col>7</xdr:col>
      <xdr:colOff>361950</xdr:colOff>
      <xdr:row>39</xdr:row>
      <xdr:rowOff>28575</xdr:rowOff>
    </xdr:to>
    <xdr:sp macro="" textlink="">
      <xdr:nvSpPr>
        <xdr:cNvPr id="2070902" name="Text Box 169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352425</xdr:colOff>
      <xdr:row>38</xdr:row>
      <xdr:rowOff>0</xdr:rowOff>
    </xdr:from>
    <xdr:to>
      <xdr:col>7</xdr:col>
      <xdr:colOff>361950</xdr:colOff>
      <xdr:row>39</xdr:row>
      <xdr:rowOff>28575</xdr:rowOff>
    </xdr:to>
    <xdr:sp macro="" textlink="">
      <xdr:nvSpPr>
        <xdr:cNvPr id="2070903" name="Text Box 170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352425</xdr:colOff>
      <xdr:row>38</xdr:row>
      <xdr:rowOff>0</xdr:rowOff>
    </xdr:from>
    <xdr:to>
      <xdr:col>7</xdr:col>
      <xdr:colOff>361950</xdr:colOff>
      <xdr:row>39</xdr:row>
      <xdr:rowOff>28575</xdr:rowOff>
    </xdr:to>
    <xdr:sp macro="" textlink="">
      <xdr:nvSpPr>
        <xdr:cNvPr id="2070904" name="Text Box 17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352425</xdr:colOff>
      <xdr:row>38</xdr:row>
      <xdr:rowOff>0</xdr:rowOff>
    </xdr:from>
    <xdr:to>
      <xdr:col>7</xdr:col>
      <xdr:colOff>361950</xdr:colOff>
      <xdr:row>39</xdr:row>
      <xdr:rowOff>28575</xdr:rowOff>
    </xdr:to>
    <xdr:sp macro="" textlink="">
      <xdr:nvSpPr>
        <xdr:cNvPr id="2070905" name="Text Box 172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352425</xdr:colOff>
      <xdr:row>38</xdr:row>
      <xdr:rowOff>0</xdr:rowOff>
    </xdr:from>
    <xdr:to>
      <xdr:col>7</xdr:col>
      <xdr:colOff>361950</xdr:colOff>
      <xdr:row>39</xdr:row>
      <xdr:rowOff>28575</xdr:rowOff>
    </xdr:to>
    <xdr:sp macro="" textlink="">
      <xdr:nvSpPr>
        <xdr:cNvPr id="2070906" name="Text Box 173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352425</xdr:colOff>
      <xdr:row>38</xdr:row>
      <xdr:rowOff>0</xdr:rowOff>
    </xdr:from>
    <xdr:to>
      <xdr:col>7</xdr:col>
      <xdr:colOff>361950</xdr:colOff>
      <xdr:row>39</xdr:row>
      <xdr:rowOff>28575</xdr:rowOff>
    </xdr:to>
    <xdr:sp macro="" textlink="">
      <xdr:nvSpPr>
        <xdr:cNvPr id="2070907" name="Text Box 174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352425</xdr:colOff>
      <xdr:row>38</xdr:row>
      <xdr:rowOff>0</xdr:rowOff>
    </xdr:from>
    <xdr:to>
      <xdr:col>7</xdr:col>
      <xdr:colOff>361950</xdr:colOff>
      <xdr:row>39</xdr:row>
      <xdr:rowOff>28575</xdr:rowOff>
    </xdr:to>
    <xdr:sp macro="" textlink="">
      <xdr:nvSpPr>
        <xdr:cNvPr id="2070908" name="Text Box 175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352425</xdr:colOff>
      <xdr:row>38</xdr:row>
      <xdr:rowOff>0</xdr:rowOff>
    </xdr:from>
    <xdr:to>
      <xdr:col>7</xdr:col>
      <xdr:colOff>361950</xdr:colOff>
      <xdr:row>39</xdr:row>
      <xdr:rowOff>28575</xdr:rowOff>
    </xdr:to>
    <xdr:sp macro="" textlink="">
      <xdr:nvSpPr>
        <xdr:cNvPr id="2070909" name="Text Box 198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352425</xdr:colOff>
      <xdr:row>38</xdr:row>
      <xdr:rowOff>0</xdr:rowOff>
    </xdr:from>
    <xdr:to>
      <xdr:col>7</xdr:col>
      <xdr:colOff>361950</xdr:colOff>
      <xdr:row>39</xdr:row>
      <xdr:rowOff>28575</xdr:rowOff>
    </xdr:to>
    <xdr:sp macro="" textlink="">
      <xdr:nvSpPr>
        <xdr:cNvPr id="2070910" name="Text Box 199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352425</xdr:colOff>
      <xdr:row>38</xdr:row>
      <xdr:rowOff>0</xdr:rowOff>
    </xdr:from>
    <xdr:to>
      <xdr:col>7</xdr:col>
      <xdr:colOff>361950</xdr:colOff>
      <xdr:row>39</xdr:row>
      <xdr:rowOff>28575</xdr:rowOff>
    </xdr:to>
    <xdr:sp macro="" textlink="">
      <xdr:nvSpPr>
        <xdr:cNvPr id="2070911" name="Text Box 200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352425</xdr:colOff>
      <xdr:row>38</xdr:row>
      <xdr:rowOff>0</xdr:rowOff>
    </xdr:from>
    <xdr:to>
      <xdr:col>7</xdr:col>
      <xdr:colOff>361950</xdr:colOff>
      <xdr:row>39</xdr:row>
      <xdr:rowOff>28575</xdr:rowOff>
    </xdr:to>
    <xdr:sp macro="" textlink="">
      <xdr:nvSpPr>
        <xdr:cNvPr id="2070912" name="Text Box 20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352425</xdr:colOff>
      <xdr:row>38</xdr:row>
      <xdr:rowOff>0</xdr:rowOff>
    </xdr:from>
    <xdr:to>
      <xdr:col>7</xdr:col>
      <xdr:colOff>361950</xdr:colOff>
      <xdr:row>39</xdr:row>
      <xdr:rowOff>28575</xdr:rowOff>
    </xdr:to>
    <xdr:sp macro="" textlink="">
      <xdr:nvSpPr>
        <xdr:cNvPr id="2070913" name="Text Box 202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352425</xdr:colOff>
      <xdr:row>38</xdr:row>
      <xdr:rowOff>0</xdr:rowOff>
    </xdr:from>
    <xdr:to>
      <xdr:col>7</xdr:col>
      <xdr:colOff>361950</xdr:colOff>
      <xdr:row>39</xdr:row>
      <xdr:rowOff>28575</xdr:rowOff>
    </xdr:to>
    <xdr:sp macro="" textlink="">
      <xdr:nvSpPr>
        <xdr:cNvPr id="2070914" name="Text Box 203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352425</xdr:colOff>
      <xdr:row>38</xdr:row>
      <xdr:rowOff>0</xdr:rowOff>
    </xdr:from>
    <xdr:to>
      <xdr:col>7</xdr:col>
      <xdr:colOff>361950</xdr:colOff>
      <xdr:row>39</xdr:row>
      <xdr:rowOff>28575</xdr:rowOff>
    </xdr:to>
    <xdr:sp macro="" textlink="">
      <xdr:nvSpPr>
        <xdr:cNvPr id="2070915" name="Text Box 204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352425</xdr:colOff>
      <xdr:row>38</xdr:row>
      <xdr:rowOff>0</xdr:rowOff>
    </xdr:from>
    <xdr:to>
      <xdr:col>7</xdr:col>
      <xdr:colOff>361950</xdr:colOff>
      <xdr:row>39</xdr:row>
      <xdr:rowOff>28575</xdr:rowOff>
    </xdr:to>
    <xdr:sp macro="" textlink="">
      <xdr:nvSpPr>
        <xdr:cNvPr id="2070916" name="Text Box 260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352425</xdr:colOff>
      <xdr:row>38</xdr:row>
      <xdr:rowOff>0</xdr:rowOff>
    </xdr:from>
    <xdr:to>
      <xdr:col>7</xdr:col>
      <xdr:colOff>361950</xdr:colOff>
      <xdr:row>39</xdr:row>
      <xdr:rowOff>28575</xdr:rowOff>
    </xdr:to>
    <xdr:sp macro="" textlink="">
      <xdr:nvSpPr>
        <xdr:cNvPr id="2070917" name="Text Box 26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352425</xdr:colOff>
      <xdr:row>38</xdr:row>
      <xdr:rowOff>0</xdr:rowOff>
    </xdr:from>
    <xdr:to>
      <xdr:col>7</xdr:col>
      <xdr:colOff>361950</xdr:colOff>
      <xdr:row>39</xdr:row>
      <xdr:rowOff>28575</xdr:rowOff>
    </xdr:to>
    <xdr:sp macro="" textlink="">
      <xdr:nvSpPr>
        <xdr:cNvPr id="2070918" name="Text Box 97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352425</xdr:colOff>
      <xdr:row>38</xdr:row>
      <xdr:rowOff>0</xdr:rowOff>
    </xdr:from>
    <xdr:to>
      <xdr:col>7</xdr:col>
      <xdr:colOff>361950</xdr:colOff>
      <xdr:row>39</xdr:row>
      <xdr:rowOff>28575</xdr:rowOff>
    </xdr:to>
    <xdr:sp macro="" textlink="">
      <xdr:nvSpPr>
        <xdr:cNvPr id="2070919" name="Text Box 972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352425</xdr:colOff>
      <xdr:row>38</xdr:row>
      <xdr:rowOff>0</xdr:rowOff>
    </xdr:from>
    <xdr:to>
      <xdr:col>7</xdr:col>
      <xdr:colOff>361950</xdr:colOff>
      <xdr:row>39</xdr:row>
      <xdr:rowOff>28575</xdr:rowOff>
    </xdr:to>
    <xdr:sp macro="" textlink="">
      <xdr:nvSpPr>
        <xdr:cNvPr id="2070920" name="Text Box 973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352425</xdr:colOff>
      <xdr:row>38</xdr:row>
      <xdr:rowOff>0</xdr:rowOff>
    </xdr:from>
    <xdr:to>
      <xdr:col>7</xdr:col>
      <xdr:colOff>361950</xdr:colOff>
      <xdr:row>39</xdr:row>
      <xdr:rowOff>28575</xdr:rowOff>
    </xdr:to>
    <xdr:sp macro="" textlink="">
      <xdr:nvSpPr>
        <xdr:cNvPr id="2070921" name="Text Box 974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295275</xdr:colOff>
      <xdr:row>38</xdr:row>
      <xdr:rowOff>0</xdr:rowOff>
    </xdr:from>
    <xdr:to>
      <xdr:col>7</xdr:col>
      <xdr:colOff>400050</xdr:colOff>
      <xdr:row>39</xdr:row>
      <xdr:rowOff>28575</xdr:rowOff>
    </xdr:to>
    <xdr:sp macro="" textlink="">
      <xdr:nvSpPr>
        <xdr:cNvPr id="2070922" name="Text Box 168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295275</xdr:colOff>
      <xdr:row>38</xdr:row>
      <xdr:rowOff>0</xdr:rowOff>
    </xdr:from>
    <xdr:to>
      <xdr:col>7</xdr:col>
      <xdr:colOff>400050</xdr:colOff>
      <xdr:row>39</xdr:row>
      <xdr:rowOff>28575</xdr:rowOff>
    </xdr:to>
    <xdr:sp macro="" textlink="">
      <xdr:nvSpPr>
        <xdr:cNvPr id="2070923" name="Text Box 169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295275</xdr:colOff>
      <xdr:row>38</xdr:row>
      <xdr:rowOff>0</xdr:rowOff>
    </xdr:from>
    <xdr:to>
      <xdr:col>7</xdr:col>
      <xdr:colOff>400050</xdr:colOff>
      <xdr:row>39</xdr:row>
      <xdr:rowOff>28575</xdr:rowOff>
    </xdr:to>
    <xdr:sp macro="" textlink="">
      <xdr:nvSpPr>
        <xdr:cNvPr id="2070924" name="Text Box 170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295275</xdr:colOff>
      <xdr:row>38</xdr:row>
      <xdr:rowOff>0</xdr:rowOff>
    </xdr:from>
    <xdr:to>
      <xdr:col>7</xdr:col>
      <xdr:colOff>400050</xdr:colOff>
      <xdr:row>39</xdr:row>
      <xdr:rowOff>28575</xdr:rowOff>
    </xdr:to>
    <xdr:sp macro="" textlink="">
      <xdr:nvSpPr>
        <xdr:cNvPr id="2070925" name="Text Box 17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295275</xdr:colOff>
      <xdr:row>38</xdr:row>
      <xdr:rowOff>0</xdr:rowOff>
    </xdr:from>
    <xdr:to>
      <xdr:col>7</xdr:col>
      <xdr:colOff>400050</xdr:colOff>
      <xdr:row>39</xdr:row>
      <xdr:rowOff>28575</xdr:rowOff>
    </xdr:to>
    <xdr:sp macro="" textlink="">
      <xdr:nvSpPr>
        <xdr:cNvPr id="2070926" name="Text Box 172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295275</xdr:colOff>
      <xdr:row>38</xdr:row>
      <xdr:rowOff>0</xdr:rowOff>
    </xdr:from>
    <xdr:to>
      <xdr:col>7</xdr:col>
      <xdr:colOff>400050</xdr:colOff>
      <xdr:row>39</xdr:row>
      <xdr:rowOff>28575</xdr:rowOff>
    </xdr:to>
    <xdr:sp macro="" textlink="">
      <xdr:nvSpPr>
        <xdr:cNvPr id="2070927" name="Text Box 173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295275</xdr:colOff>
      <xdr:row>38</xdr:row>
      <xdr:rowOff>0</xdr:rowOff>
    </xdr:from>
    <xdr:to>
      <xdr:col>7</xdr:col>
      <xdr:colOff>400050</xdr:colOff>
      <xdr:row>39</xdr:row>
      <xdr:rowOff>28575</xdr:rowOff>
    </xdr:to>
    <xdr:sp macro="" textlink="">
      <xdr:nvSpPr>
        <xdr:cNvPr id="2070928" name="Text Box 174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295275</xdr:colOff>
      <xdr:row>38</xdr:row>
      <xdr:rowOff>0</xdr:rowOff>
    </xdr:from>
    <xdr:to>
      <xdr:col>7</xdr:col>
      <xdr:colOff>400050</xdr:colOff>
      <xdr:row>39</xdr:row>
      <xdr:rowOff>28575</xdr:rowOff>
    </xdr:to>
    <xdr:sp macro="" textlink="">
      <xdr:nvSpPr>
        <xdr:cNvPr id="2070929" name="Text Box 175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295275</xdr:colOff>
      <xdr:row>38</xdr:row>
      <xdr:rowOff>0</xdr:rowOff>
    </xdr:from>
    <xdr:to>
      <xdr:col>7</xdr:col>
      <xdr:colOff>400050</xdr:colOff>
      <xdr:row>39</xdr:row>
      <xdr:rowOff>28575</xdr:rowOff>
    </xdr:to>
    <xdr:sp macro="" textlink="">
      <xdr:nvSpPr>
        <xdr:cNvPr id="2070930" name="Text Box 198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295275</xdr:colOff>
      <xdr:row>38</xdr:row>
      <xdr:rowOff>0</xdr:rowOff>
    </xdr:from>
    <xdr:to>
      <xdr:col>7</xdr:col>
      <xdr:colOff>400050</xdr:colOff>
      <xdr:row>39</xdr:row>
      <xdr:rowOff>28575</xdr:rowOff>
    </xdr:to>
    <xdr:sp macro="" textlink="">
      <xdr:nvSpPr>
        <xdr:cNvPr id="2070931" name="Text Box 199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295275</xdr:colOff>
      <xdr:row>38</xdr:row>
      <xdr:rowOff>0</xdr:rowOff>
    </xdr:from>
    <xdr:to>
      <xdr:col>7</xdr:col>
      <xdr:colOff>400050</xdr:colOff>
      <xdr:row>39</xdr:row>
      <xdr:rowOff>28575</xdr:rowOff>
    </xdr:to>
    <xdr:sp macro="" textlink="">
      <xdr:nvSpPr>
        <xdr:cNvPr id="2070932" name="Text Box 200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295275</xdr:colOff>
      <xdr:row>38</xdr:row>
      <xdr:rowOff>0</xdr:rowOff>
    </xdr:from>
    <xdr:to>
      <xdr:col>7</xdr:col>
      <xdr:colOff>400050</xdr:colOff>
      <xdr:row>39</xdr:row>
      <xdr:rowOff>28575</xdr:rowOff>
    </xdr:to>
    <xdr:sp macro="" textlink="">
      <xdr:nvSpPr>
        <xdr:cNvPr id="2070933" name="Text Box 20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295275</xdr:colOff>
      <xdr:row>38</xdr:row>
      <xdr:rowOff>0</xdr:rowOff>
    </xdr:from>
    <xdr:to>
      <xdr:col>7</xdr:col>
      <xdr:colOff>400050</xdr:colOff>
      <xdr:row>39</xdr:row>
      <xdr:rowOff>28575</xdr:rowOff>
    </xdr:to>
    <xdr:sp macro="" textlink="">
      <xdr:nvSpPr>
        <xdr:cNvPr id="2070934" name="Text Box 202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295275</xdr:colOff>
      <xdr:row>38</xdr:row>
      <xdr:rowOff>0</xdr:rowOff>
    </xdr:from>
    <xdr:to>
      <xdr:col>7</xdr:col>
      <xdr:colOff>400050</xdr:colOff>
      <xdr:row>39</xdr:row>
      <xdr:rowOff>28575</xdr:rowOff>
    </xdr:to>
    <xdr:sp macro="" textlink="">
      <xdr:nvSpPr>
        <xdr:cNvPr id="2070935" name="Text Box 203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295275</xdr:colOff>
      <xdr:row>38</xdr:row>
      <xdr:rowOff>0</xdr:rowOff>
    </xdr:from>
    <xdr:to>
      <xdr:col>7</xdr:col>
      <xdr:colOff>400050</xdr:colOff>
      <xdr:row>39</xdr:row>
      <xdr:rowOff>28575</xdr:rowOff>
    </xdr:to>
    <xdr:sp macro="" textlink="">
      <xdr:nvSpPr>
        <xdr:cNvPr id="2070936" name="Text Box 204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295275</xdr:colOff>
      <xdr:row>38</xdr:row>
      <xdr:rowOff>0</xdr:rowOff>
    </xdr:from>
    <xdr:to>
      <xdr:col>7</xdr:col>
      <xdr:colOff>400050</xdr:colOff>
      <xdr:row>39</xdr:row>
      <xdr:rowOff>28575</xdr:rowOff>
    </xdr:to>
    <xdr:sp macro="" textlink="">
      <xdr:nvSpPr>
        <xdr:cNvPr id="2070937" name="Text Box 260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295275</xdr:colOff>
      <xdr:row>38</xdr:row>
      <xdr:rowOff>0</xdr:rowOff>
    </xdr:from>
    <xdr:to>
      <xdr:col>7</xdr:col>
      <xdr:colOff>400050</xdr:colOff>
      <xdr:row>39</xdr:row>
      <xdr:rowOff>28575</xdr:rowOff>
    </xdr:to>
    <xdr:sp macro="" textlink="">
      <xdr:nvSpPr>
        <xdr:cNvPr id="2070938" name="Text Box 26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295275</xdr:colOff>
      <xdr:row>38</xdr:row>
      <xdr:rowOff>0</xdr:rowOff>
    </xdr:from>
    <xdr:to>
      <xdr:col>7</xdr:col>
      <xdr:colOff>400050</xdr:colOff>
      <xdr:row>39</xdr:row>
      <xdr:rowOff>28575</xdr:rowOff>
    </xdr:to>
    <xdr:sp macro="" textlink="">
      <xdr:nvSpPr>
        <xdr:cNvPr id="2070939" name="Text Box 97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295275</xdr:colOff>
      <xdr:row>38</xdr:row>
      <xdr:rowOff>0</xdr:rowOff>
    </xdr:from>
    <xdr:to>
      <xdr:col>7</xdr:col>
      <xdr:colOff>400050</xdr:colOff>
      <xdr:row>39</xdr:row>
      <xdr:rowOff>28575</xdr:rowOff>
    </xdr:to>
    <xdr:sp macro="" textlink="">
      <xdr:nvSpPr>
        <xdr:cNvPr id="2070940" name="Text Box 972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295275</xdr:colOff>
      <xdr:row>38</xdr:row>
      <xdr:rowOff>0</xdr:rowOff>
    </xdr:from>
    <xdr:to>
      <xdr:col>7</xdr:col>
      <xdr:colOff>400050</xdr:colOff>
      <xdr:row>39</xdr:row>
      <xdr:rowOff>28575</xdr:rowOff>
    </xdr:to>
    <xdr:sp macro="" textlink="">
      <xdr:nvSpPr>
        <xdr:cNvPr id="2070941" name="Text Box 973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295275</xdr:colOff>
      <xdr:row>38</xdr:row>
      <xdr:rowOff>0</xdr:rowOff>
    </xdr:from>
    <xdr:to>
      <xdr:col>7</xdr:col>
      <xdr:colOff>400050</xdr:colOff>
      <xdr:row>39</xdr:row>
      <xdr:rowOff>28575</xdr:rowOff>
    </xdr:to>
    <xdr:sp macro="" textlink="">
      <xdr:nvSpPr>
        <xdr:cNvPr id="2070942" name="Text Box 974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352425</xdr:colOff>
      <xdr:row>38</xdr:row>
      <xdr:rowOff>0</xdr:rowOff>
    </xdr:from>
    <xdr:to>
      <xdr:col>8</xdr:col>
      <xdr:colOff>361950</xdr:colOff>
      <xdr:row>39</xdr:row>
      <xdr:rowOff>28575</xdr:rowOff>
    </xdr:to>
    <xdr:sp macro="" textlink="">
      <xdr:nvSpPr>
        <xdr:cNvPr id="2070943" name="Text Box 168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352425</xdr:colOff>
      <xdr:row>38</xdr:row>
      <xdr:rowOff>0</xdr:rowOff>
    </xdr:from>
    <xdr:to>
      <xdr:col>8</xdr:col>
      <xdr:colOff>361950</xdr:colOff>
      <xdr:row>39</xdr:row>
      <xdr:rowOff>28575</xdr:rowOff>
    </xdr:to>
    <xdr:sp macro="" textlink="">
      <xdr:nvSpPr>
        <xdr:cNvPr id="2070944" name="Text Box 169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352425</xdr:colOff>
      <xdr:row>38</xdr:row>
      <xdr:rowOff>0</xdr:rowOff>
    </xdr:from>
    <xdr:to>
      <xdr:col>8</xdr:col>
      <xdr:colOff>361950</xdr:colOff>
      <xdr:row>39</xdr:row>
      <xdr:rowOff>28575</xdr:rowOff>
    </xdr:to>
    <xdr:sp macro="" textlink="">
      <xdr:nvSpPr>
        <xdr:cNvPr id="2070945" name="Text Box 170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352425</xdr:colOff>
      <xdr:row>38</xdr:row>
      <xdr:rowOff>0</xdr:rowOff>
    </xdr:from>
    <xdr:to>
      <xdr:col>8</xdr:col>
      <xdr:colOff>361950</xdr:colOff>
      <xdr:row>39</xdr:row>
      <xdr:rowOff>28575</xdr:rowOff>
    </xdr:to>
    <xdr:sp macro="" textlink="">
      <xdr:nvSpPr>
        <xdr:cNvPr id="2070946" name="Text Box 17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352425</xdr:colOff>
      <xdr:row>38</xdr:row>
      <xdr:rowOff>0</xdr:rowOff>
    </xdr:from>
    <xdr:to>
      <xdr:col>8</xdr:col>
      <xdr:colOff>361950</xdr:colOff>
      <xdr:row>39</xdr:row>
      <xdr:rowOff>28575</xdr:rowOff>
    </xdr:to>
    <xdr:sp macro="" textlink="">
      <xdr:nvSpPr>
        <xdr:cNvPr id="2070947" name="Text Box 172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352425</xdr:colOff>
      <xdr:row>38</xdr:row>
      <xdr:rowOff>0</xdr:rowOff>
    </xdr:from>
    <xdr:to>
      <xdr:col>8</xdr:col>
      <xdr:colOff>361950</xdr:colOff>
      <xdr:row>39</xdr:row>
      <xdr:rowOff>28575</xdr:rowOff>
    </xdr:to>
    <xdr:sp macro="" textlink="">
      <xdr:nvSpPr>
        <xdr:cNvPr id="2070948" name="Text Box 173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352425</xdr:colOff>
      <xdr:row>38</xdr:row>
      <xdr:rowOff>0</xdr:rowOff>
    </xdr:from>
    <xdr:to>
      <xdr:col>8</xdr:col>
      <xdr:colOff>361950</xdr:colOff>
      <xdr:row>39</xdr:row>
      <xdr:rowOff>28575</xdr:rowOff>
    </xdr:to>
    <xdr:sp macro="" textlink="">
      <xdr:nvSpPr>
        <xdr:cNvPr id="2070949" name="Text Box 174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352425</xdr:colOff>
      <xdr:row>38</xdr:row>
      <xdr:rowOff>0</xdr:rowOff>
    </xdr:from>
    <xdr:to>
      <xdr:col>8</xdr:col>
      <xdr:colOff>361950</xdr:colOff>
      <xdr:row>39</xdr:row>
      <xdr:rowOff>28575</xdr:rowOff>
    </xdr:to>
    <xdr:sp macro="" textlink="">
      <xdr:nvSpPr>
        <xdr:cNvPr id="2070950" name="Text Box 175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352425</xdr:colOff>
      <xdr:row>38</xdr:row>
      <xdr:rowOff>0</xdr:rowOff>
    </xdr:from>
    <xdr:to>
      <xdr:col>8</xdr:col>
      <xdr:colOff>361950</xdr:colOff>
      <xdr:row>39</xdr:row>
      <xdr:rowOff>28575</xdr:rowOff>
    </xdr:to>
    <xdr:sp macro="" textlink="">
      <xdr:nvSpPr>
        <xdr:cNvPr id="2070951" name="Text Box 198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352425</xdr:colOff>
      <xdr:row>38</xdr:row>
      <xdr:rowOff>0</xdr:rowOff>
    </xdr:from>
    <xdr:to>
      <xdr:col>8</xdr:col>
      <xdr:colOff>361950</xdr:colOff>
      <xdr:row>39</xdr:row>
      <xdr:rowOff>28575</xdr:rowOff>
    </xdr:to>
    <xdr:sp macro="" textlink="">
      <xdr:nvSpPr>
        <xdr:cNvPr id="2070952" name="Text Box 199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352425</xdr:colOff>
      <xdr:row>38</xdr:row>
      <xdr:rowOff>0</xdr:rowOff>
    </xdr:from>
    <xdr:to>
      <xdr:col>8</xdr:col>
      <xdr:colOff>361950</xdr:colOff>
      <xdr:row>39</xdr:row>
      <xdr:rowOff>28575</xdr:rowOff>
    </xdr:to>
    <xdr:sp macro="" textlink="">
      <xdr:nvSpPr>
        <xdr:cNvPr id="2070953" name="Text Box 200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352425</xdr:colOff>
      <xdr:row>38</xdr:row>
      <xdr:rowOff>0</xdr:rowOff>
    </xdr:from>
    <xdr:to>
      <xdr:col>8</xdr:col>
      <xdr:colOff>361950</xdr:colOff>
      <xdr:row>39</xdr:row>
      <xdr:rowOff>28575</xdr:rowOff>
    </xdr:to>
    <xdr:sp macro="" textlink="">
      <xdr:nvSpPr>
        <xdr:cNvPr id="2070954" name="Text Box 20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352425</xdr:colOff>
      <xdr:row>38</xdr:row>
      <xdr:rowOff>0</xdr:rowOff>
    </xdr:from>
    <xdr:to>
      <xdr:col>8</xdr:col>
      <xdr:colOff>361950</xdr:colOff>
      <xdr:row>39</xdr:row>
      <xdr:rowOff>28575</xdr:rowOff>
    </xdr:to>
    <xdr:sp macro="" textlink="">
      <xdr:nvSpPr>
        <xdr:cNvPr id="2070955" name="Text Box 202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352425</xdr:colOff>
      <xdr:row>38</xdr:row>
      <xdr:rowOff>0</xdr:rowOff>
    </xdr:from>
    <xdr:to>
      <xdr:col>8</xdr:col>
      <xdr:colOff>361950</xdr:colOff>
      <xdr:row>39</xdr:row>
      <xdr:rowOff>28575</xdr:rowOff>
    </xdr:to>
    <xdr:sp macro="" textlink="">
      <xdr:nvSpPr>
        <xdr:cNvPr id="2070956" name="Text Box 203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352425</xdr:colOff>
      <xdr:row>38</xdr:row>
      <xdr:rowOff>0</xdr:rowOff>
    </xdr:from>
    <xdr:to>
      <xdr:col>8</xdr:col>
      <xdr:colOff>361950</xdr:colOff>
      <xdr:row>39</xdr:row>
      <xdr:rowOff>28575</xdr:rowOff>
    </xdr:to>
    <xdr:sp macro="" textlink="">
      <xdr:nvSpPr>
        <xdr:cNvPr id="2070957" name="Text Box 204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352425</xdr:colOff>
      <xdr:row>38</xdr:row>
      <xdr:rowOff>0</xdr:rowOff>
    </xdr:from>
    <xdr:to>
      <xdr:col>8</xdr:col>
      <xdr:colOff>361950</xdr:colOff>
      <xdr:row>39</xdr:row>
      <xdr:rowOff>28575</xdr:rowOff>
    </xdr:to>
    <xdr:sp macro="" textlink="">
      <xdr:nvSpPr>
        <xdr:cNvPr id="2070958" name="Text Box 260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352425</xdr:colOff>
      <xdr:row>38</xdr:row>
      <xdr:rowOff>0</xdr:rowOff>
    </xdr:from>
    <xdr:to>
      <xdr:col>8</xdr:col>
      <xdr:colOff>361950</xdr:colOff>
      <xdr:row>39</xdr:row>
      <xdr:rowOff>28575</xdr:rowOff>
    </xdr:to>
    <xdr:sp macro="" textlink="">
      <xdr:nvSpPr>
        <xdr:cNvPr id="2070959" name="Text Box 26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352425</xdr:colOff>
      <xdr:row>38</xdr:row>
      <xdr:rowOff>0</xdr:rowOff>
    </xdr:from>
    <xdr:to>
      <xdr:col>8</xdr:col>
      <xdr:colOff>361950</xdr:colOff>
      <xdr:row>39</xdr:row>
      <xdr:rowOff>28575</xdr:rowOff>
    </xdr:to>
    <xdr:sp macro="" textlink="">
      <xdr:nvSpPr>
        <xdr:cNvPr id="2070960" name="Text Box 97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352425</xdr:colOff>
      <xdr:row>38</xdr:row>
      <xdr:rowOff>0</xdr:rowOff>
    </xdr:from>
    <xdr:to>
      <xdr:col>8</xdr:col>
      <xdr:colOff>361950</xdr:colOff>
      <xdr:row>39</xdr:row>
      <xdr:rowOff>28575</xdr:rowOff>
    </xdr:to>
    <xdr:sp macro="" textlink="">
      <xdr:nvSpPr>
        <xdr:cNvPr id="2070961" name="Text Box 972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352425</xdr:colOff>
      <xdr:row>38</xdr:row>
      <xdr:rowOff>0</xdr:rowOff>
    </xdr:from>
    <xdr:to>
      <xdr:col>8</xdr:col>
      <xdr:colOff>361950</xdr:colOff>
      <xdr:row>39</xdr:row>
      <xdr:rowOff>28575</xdr:rowOff>
    </xdr:to>
    <xdr:sp macro="" textlink="">
      <xdr:nvSpPr>
        <xdr:cNvPr id="2070962" name="Text Box 973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352425</xdr:colOff>
      <xdr:row>38</xdr:row>
      <xdr:rowOff>0</xdr:rowOff>
    </xdr:from>
    <xdr:to>
      <xdr:col>8</xdr:col>
      <xdr:colOff>361950</xdr:colOff>
      <xdr:row>39</xdr:row>
      <xdr:rowOff>28575</xdr:rowOff>
    </xdr:to>
    <xdr:sp macro="" textlink="">
      <xdr:nvSpPr>
        <xdr:cNvPr id="2070963" name="Text Box 974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295275</xdr:colOff>
      <xdr:row>38</xdr:row>
      <xdr:rowOff>0</xdr:rowOff>
    </xdr:from>
    <xdr:to>
      <xdr:col>8</xdr:col>
      <xdr:colOff>400050</xdr:colOff>
      <xdr:row>39</xdr:row>
      <xdr:rowOff>28575</xdr:rowOff>
    </xdr:to>
    <xdr:sp macro="" textlink="">
      <xdr:nvSpPr>
        <xdr:cNvPr id="2070964" name="Text Box 168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295275</xdr:colOff>
      <xdr:row>38</xdr:row>
      <xdr:rowOff>0</xdr:rowOff>
    </xdr:from>
    <xdr:to>
      <xdr:col>8</xdr:col>
      <xdr:colOff>400050</xdr:colOff>
      <xdr:row>39</xdr:row>
      <xdr:rowOff>28575</xdr:rowOff>
    </xdr:to>
    <xdr:sp macro="" textlink="">
      <xdr:nvSpPr>
        <xdr:cNvPr id="2070965" name="Text Box 169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295275</xdr:colOff>
      <xdr:row>38</xdr:row>
      <xdr:rowOff>0</xdr:rowOff>
    </xdr:from>
    <xdr:to>
      <xdr:col>8</xdr:col>
      <xdr:colOff>400050</xdr:colOff>
      <xdr:row>39</xdr:row>
      <xdr:rowOff>28575</xdr:rowOff>
    </xdr:to>
    <xdr:sp macro="" textlink="">
      <xdr:nvSpPr>
        <xdr:cNvPr id="2070966" name="Text Box 170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295275</xdr:colOff>
      <xdr:row>38</xdr:row>
      <xdr:rowOff>0</xdr:rowOff>
    </xdr:from>
    <xdr:to>
      <xdr:col>8</xdr:col>
      <xdr:colOff>400050</xdr:colOff>
      <xdr:row>39</xdr:row>
      <xdr:rowOff>28575</xdr:rowOff>
    </xdr:to>
    <xdr:sp macro="" textlink="">
      <xdr:nvSpPr>
        <xdr:cNvPr id="2070967" name="Text Box 17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295275</xdr:colOff>
      <xdr:row>38</xdr:row>
      <xdr:rowOff>0</xdr:rowOff>
    </xdr:from>
    <xdr:to>
      <xdr:col>8</xdr:col>
      <xdr:colOff>400050</xdr:colOff>
      <xdr:row>39</xdr:row>
      <xdr:rowOff>28575</xdr:rowOff>
    </xdr:to>
    <xdr:sp macro="" textlink="">
      <xdr:nvSpPr>
        <xdr:cNvPr id="2070968" name="Text Box 172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295275</xdr:colOff>
      <xdr:row>38</xdr:row>
      <xdr:rowOff>0</xdr:rowOff>
    </xdr:from>
    <xdr:to>
      <xdr:col>8</xdr:col>
      <xdr:colOff>400050</xdr:colOff>
      <xdr:row>39</xdr:row>
      <xdr:rowOff>28575</xdr:rowOff>
    </xdr:to>
    <xdr:sp macro="" textlink="">
      <xdr:nvSpPr>
        <xdr:cNvPr id="2070969" name="Text Box 173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295275</xdr:colOff>
      <xdr:row>38</xdr:row>
      <xdr:rowOff>0</xdr:rowOff>
    </xdr:from>
    <xdr:to>
      <xdr:col>8</xdr:col>
      <xdr:colOff>400050</xdr:colOff>
      <xdr:row>39</xdr:row>
      <xdr:rowOff>28575</xdr:rowOff>
    </xdr:to>
    <xdr:sp macro="" textlink="">
      <xdr:nvSpPr>
        <xdr:cNvPr id="2070970" name="Text Box 174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295275</xdr:colOff>
      <xdr:row>38</xdr:row>
      <xdr:rowOff>0</xdr:rowOff>
    </xdr:from>
    <xdr:to>
      <xdr:col>8</xdr:col>
      <xdr:colOff>400050</xdr:colOff>
      <xdr:row>39</xdr:row>
      <xdr:rowOff>28575</xdr:rowOff>
    </xdr:to>
    <xdr:sp macro="" textlink="">
      <xdr:nvSpPr>
        <xdr:cNvPr id="2070971" name="Text Box 175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295275</xdr:colOff>
      <xdr:row>38</xdr:row>
      <xdr:rowOff>0</xdr:rowOff>
    </xdr:from>
    <xdr:to>
      <xdr:col>8</xdr:col>
      <xdr:colOff>400050</xdr:colOff>
      <xdr:row>39</xdr:row>
      <xdr:rowOff>28575</xdr:rowOff>
    </xdr:to>
    <xdr:sp macro="" textlink="">
      <xdr:nvSpPr>
        <xdr:cNvPr id="2070972" name="Text Box 198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295275</xdr:colOff>
      <xdr:row>38</xdr:row>
      <xdr:rowOff>0</xdr:rowOff>
    </xdr:from>
    <xdr:to>
      <xdr:col>8</xdr:col>
      <xdr:colOff>400050</xdr:colOff>
      <xdr:row>39</xdr:row>
      <xdr:rowOff>28575</xdr:rowOff>
    </xdr:to>
    <xdr:sp macro="" textlink="">
      <xdr:nvSpPr>
        <xdr:cNvPr id="2070973" name="Text Box 199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295275</xdr:colOff>
      <xdr:row>38</xdr:row>
      <xdr:rowOff>0</xdr:rowOff>
    </xdr:from>
    <xdr:to>
      <xdr:col>8</xdr:col>
      <xdr:colOff>400050</xdr:colOff>
      <xdr:row>39</xdr:row>
      <xdr:rowOff>28575</xdr:rowOff>
    </xdr:to>
    <xdr:sp macro="" textlink="">
      <xdr:nvSpPr>
        <xdr:cNvPr id="2070974" name="Text Box 200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295275</xdr:colOff>
      <xdr:row>38</xdr:row>
      <xdr:rowOff>0</xdr:rowOff>
    </xdr:from>
    <xdr:to>
      <xdr:col>8</xdr:col>
      <xdr:colOff>400050</xdr:colOff>
      <xdr:row>39</xdr:row>
      <xdr:rowOff>28575</xdr:rowOff>
    </xdr:to>
    <xdr:sp macro="" textlink="">
      <xdr:nvSpPr>
        <xdr:cNvPr id="2070975" name="Text Box 20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295275</xdr:colOff>
      <xdr:row>38</xdr:row>
      <xdr:rowOff>0</xdr:rowOff>
    </xdr:from>
    <xdr:to>
      <xdr:col>8</xdr:col>
      <xdr:colOff>400050</xdr:colOff>
      <xdr:row>39</xdr:row>
      <xdr:rowOff>28575</xdr:rowOff>
    </xdr:to>
    <xdr:sp macro="" textlink="">
      <xdr:nvSpPr>
        <xdr:cNvPr id="2070976" name="Text Box 202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295275</xdr:colOff>
      <xdr:row>38</xdr:row>
      <xdr:rowOff>0</xdr:rowOff>
    </xdr:from>
    <xdr:to>
      <xdr:col>8</xdr:col>
      <xdr:colOff>400050</xdr:colOff>
      <xdr:row>39</xdr:row>
      <xdr:rowOff>28575</xdr:rowOff>
    </xdr:to>
    <xdr:sp macro="" textlink="">
      <xdr:nvSpPr>
        <xdr:cNvPr id="2070977" name="Text Box 203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295275</xdr:colOff>
      <xdr:row>38</xdr:row>
      <xdr:rowOff>0</xdr:rowOff>
    </xdr:from>
    <xdr:to>
      <xdr:col>8</xdr:col>
      <xdr:colOff>400050</xdr:colOff>
      <xdr:row>39</xdr:row>
      <xdr:rowOff>28575</xdr:rowOff>
    </xdr:to>
    <xdr:sp macro="" textlink="">
      <xdr:nvSpPr>
        <xdr:cNvPr id="2070978" name="Text Box 204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295275</xdr:colOff>
      <xdr:row>38</xdr:row>
      <xdr:rowOff>0</xdr:rowOff>
    </xdr:from>
    <xdr:to>
      <xdr:col>8</xdr:col>
      <xdr:colOff>400050</xdr:colOff>
      <xdr:row>39</xdr:row>
      <xdr:rowOff>28575</xdr:rowOff>
    </xdr:to>
    <xdr:sp macro="" textlink="">
      <xdr:nvSpPr>
        <xdr:cNvPr id="2070979" name="Text Box 260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295275</xdr:colOff>
      <xdr:row>38</xdr:row>
      <xdr:rowOff>0</xdr:rowOff>
    </xdr:from>
    <xdr:to>
      <xdr:col>8</xdr:col>
      <xdr:colOff>400050</xdr:colOff>
      <xdr:row>39</xdr:row>
      <xdr:rowOff>28575</xdr:rowOff>
    </xdr:to>
    <xdr:sp macro="" textlink="">
      <xdr:nvSpPr>
        <xdr:cNvPr id="2070980" name="Text Box 26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295275</xdr:colOff>
      <xdr:row>38</xdr:row>
      <xdr:rowOff>0</xdr:rowOff>
    </xdr:from>
    <xdr:to>
      <xdr:col>8</xdr:col>
      <xdr:colOff>400050</xdr:colOff>
      <xdr:row>39</xdr:row>
      <xdr:rowOff>28575</xdr:rowOff>
    </xdr:to>
    <xdr:sp macro="" textlink="">
      <xdr:nvSpPr>
        <xdr:cNvPr id="2070981" name="Text Box 97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295275</xdr:colOff>
      <xdr:row>38</xdr:row>
      <xdr:rowOff>0</xdr:rowOff>
    </xdr:from>
    <xdr:to>
      <xdr:col>8</xdr:col>
      <xdr:colOff>400050</xdr:colOff>
      <xdr:row>39</xdr:row>
      <xdr:rowOff>28575</xdr:rowOff>
    </xdr:to>
    <xdr:sp macro="" textlink="">
      <xdr:nvSpPr>
        <xdr:cNvPr id="2070982" name="Text Box 972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295275</xdr:colOff>
      <xdr:row>38</xdr:row>
      <xdr:rowOff>0</xdr:rowOff>
    </xdr:from>
    <xdr:to>
      <xdr:col>8</xdr:col>
      <xdr:colOff>400050</xdr:colOff>
      <xdr:row>39</xdr:row>
      <xdr:rowOff>28575</xdr:rowOff>
    </xdr:to>
    <xdr:sp macro="" textlink="">
      <xdr:nvSpPr>
        <xdr:cNvPr id="2070983" name="Text Box 973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295275</xdr:colOff>
      <xdr:row>38</xdr:row>
      <xdr:rowOff>0</xdr:rowOff>
    </xdr:from>
    <xdr:to>
      <xdr:col>8</xdr:col>
      <xdr:colOff>400050</xdr:colOff>
      <xdr:row>39</xdr:row>
      <xdr:rowOff>28575</xdr:rowOff>
    </xdr:to>
    <xdr:sp macro="" textlink="">
      <xdr:nvSpPr>
        <xdr:cNvPr id="2070984" name="Text Box 974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352425</xdr:colOff>
      <xdr:row>38</xdr:row>
      <xdr:rowOff>0</xdr:rowOff>
    </xdr:from>
    <xdr:to>
      <xdr:col>9</xdr:col>
      <xdr:colOff>361950</xdr:colOff>
      <xdr:row>39</xdr:row>
      <xdr:rowOff>28575</xdr:rowOff>
    </xdr:to>
    <xdr:sp macro="" textlink="">
      <xdr:nvSpPr>
        <xdr:cNvPr id="2070985" name="Text Box 168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352425</xdr:colOff>
      <xdr:row>38</xdr:row>
      <xdr:rowOff>0</xdr:rowOff>
    </xdr:from>
    <xdr:to>
      <xdr:col>9</xdr:col>
      <xdr:colOff>361950</xdr:colOff>
      <xdr:row>39</xdr:row>
      <xdr:rowOff>28575</xdr:rowOff>
    </xdr:to>
    <xdr:sp macro="" textlink="">
      <xdr:nvSpPr>
        <xdr:cNvPr id="2070986" name="Text Box 169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352425</xdr:colOff>
      <xdr:row>38</xdr:row>
      <xdr:rowOff>0</xdr:rowOff>
    </xdr:from>
    <xdr:to>
      <xdr:col>9</xdr:col>
      <xdr:colOff>361950</xdr:colOff>
      <xdr:row>39</xdr:row>
      <xdr:rowOff>28575</xdr:rowOff>
    </xdr:to>
    <xdr:sp macro="" textlink="">
      <xdr:nvSpPr>
        <xdr:cNvPr id="2070987" name="Text Box 170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352425</xdr:colOff>
      <xdr:row>38</xdr:row>
      <xdr:rowOff>0</xdr:rowOff>
    </xdr:from>
    <xdr:to>
      <xdr:col>9</xdr:col>
      <xdr:colOff>361950</xdr:colOff>
      <xdr:row>39</xdr:row>
      <xdr:rowOff>28575</xdr:rowOff>
    </xdr:to>
    <xdr:sp macro="" textlink="">
      <xdr:nvSpPr>
        <xdr:cNvPr id="2070988" name="Text Box 17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352425</xdr:colOff>
      <xdr:row>38</xdr:row>
      <xdr:rowOff>0</xdr:rowOff>
    </xdr:from>
    <xdr:to>
      <xdr:col>9</xdr:col>
      <xdr:colOff>361950</xdr:colOff>
      <xdr:row>39</xdr:row>
      <xdr:rowOff>28575</xdr:rowOff>
    </xdr:to>
    <xdr:sp macro="" textlink="">
      <xdr:nvSpPr>
        <xdr:cNvPr id="2070989" name="Text Box 172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352425</xdr:colOff>
      <xdr:row>38</xdr:row>
      <xdr:rowOff>0</xdr:rowOff>
    </xdr:from>
    <xdr:to>
      <xdr:col>9</xdr:col>
      <xdr:colOff>361950</xdr:colOff>
      <xdr:row>39</xdr:row>
      <xdr:rowOff>28575</xdr:rowOff>
    </xdr:to>
    <xdr:sp macro="" textlink="">
      <xdr:nvSpPr>
        <xdr:cNvPr id="2070990" name="Text Box 173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352425</xdr:colOff>
      <xdr:row>38</xdr:row>
      <xdr:rowOff>0</xdr:rowOff>
    </xdr:from>
    <xdr:to>
      <xdr:col>9</xdr:col>
      <xdr:colOff>361950</xdr:colOff>
      <xdr:row>39</xdr:row>
      <xdr:rowOff>28575</xdr:rowOff>
    </xdr:to>
    <xdr:sp macro="" textlink="">
      <xdr:nvSpPr>
        <xdr:cNvPr id="2070991" name="Text Box 174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352425</xdr:colOff>
      <xdr:row>38</xdr:row>
      <xdr:rowOff>0</xdr:rowOff>
    </xdr:from>
    <xdr:to>
      <xdr:col>9</xdr:col>
      <xdr:colOff>361950</xdr:colOff>
      <xdr:row>39</xdr:row>
      <xdr:rowOff>28575</xdr:rowOff>
    </xdr:to>
    <xdr:sp macro="" textlink="">
      <xdr:nvSpPr>
        <xdr:cNvPr id="2070992" name="Text Box 175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352425</xdr:colOff>
      <xdr:row>38</xdr:row>
      <xdr:rowOff>0</xdr:rowOff>
    </xdr:from>
    <xdr:to>
      <xdr:col>9</xdr:col>
      <xdr:colOff>361950</xdr:colOff>
      <xdr:row>39</xdr:row>
      <xdr:rowOff>28575</xdr:rowOff>
    </xdr:to>
    <xdr:sp macro="" textlink="">
      <xdr:nvSpPr>
        <xdr:cNvPr id="2070993" name="Text Box 198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352425</xdr:colOff>
      <xdr:row>38</xdr:row>
      <xdr:rowOff>0</xdr:rowOff>
    </xdr:from>
    <xdr:to>
      <xdr:col>9</xdr:col>
      <xdr:colOff>361950</xdr:colOff>
      <xdr:row>39</xdr:row>
      <xdr:rowOff>28575</xdr:rowOff>
    </xdr:to>
    <xdr:sp macro="" textlink="">
      <xdr:nvSpPr>
        <xdr:cNvPr id="2070994" name="Text Box 199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352425</xdr:colOff>
      <xdr:row>38</xdr:row>
      <xdr:rowOff>0</xdr:rowOff>
    </xdr:from>
    <xdr:to>
      <xdr:col>9</xdr:col>
      <xdr:colOff>361950</xdr:colOff>
      <xdr:row>39</xdr:row>
      <xdr:rowOff>28575</xdr:rowOff>
    </xdr:to>
    <xdr:sp macro="" textlink="">
      <xdr:nvSpPr>
        <xdr:cNvPr id="2070995" name="Text Box 200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352425</xdr:colOff>
      <xdr:row>38</xdr:row>
      <xdr:rowOff>0</xdr:rowOff>
    </xdr:from>
    <xdr:to>
      <xdr:col>9</xdr:col>
      <xdr:colOff>361950</xdr:colOff>
      <xdr:row>39</xdr:row>
      <xdr:rowOff>28575</xdr:rowOff>
    </xdr:to>
    <xdr:sp macro="" textlink="">
      <xdr:nvSpPr>
        <xdr:cNvPr id="2070996" name="Text Box 20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352425</xdr:colOff>
      <xdr:row>38</xdr:row>
      <xdr:rowOff>0</xdr:rowOff>
    </xdr:from>
    <xdr:to>
      <xdr:col>9</xdr:col>
      <xdr:colOff>361950</xdr:colOff>
      <xdr:row>39</xdr:row>
      <xdr:rowOff>28575</xdr:rowOff>
    </xdr:to>
    <xdr:sp macro="" textlink="">
      <xdr:nvSpPr>
        <xdr:cNvPr id="2070997" name="Text Box 202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352425</xdr:colOff>
      <xdr:row>38</xdr:row>
      <xdr:rowOff>0</xdr:rowOff>
    </xdr:from>
    <xdr:to>
      <xdr:col>9</xdr:col>
      <xdr:colOff>361950</xdr:colOff>
      <xdr:row>39</xdr:row>
      <xdr:rowOff>28575</xdr:rowOff>
    </xdr:to>
    <xdr:sp macro="" textlink="">
      <xdr:nvSpPr>
        <xdr:cNvPr id="2070998" name="Text Box 203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352425</xdr:colOff>
      <xdr:row>38</xdr:row>
      <xdr:rowOff>0</xdr:rowOff>
    </xdr:from>
    <xdr:to>
      <xdr:col>9</xdr:col>
      <xdr:colOff>361950</xdr:colOff>
      <xdr:row>39</xdr:row>
      <xdr:rowOff>28575</xdr:rowOff>
    </xdr:to>
    <xdr:sp macro="" textlink="">
      <xdr:nvSpPr>
        <xdr:cNvPr id="2070999" name="Text Box 204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352425</xdr:colOff>
      <xdr:row>38</xdr:row>
      <xdr:rowOff>0</xdr:rowOff>
    </xdr:from>
    <xdr:to>
      <xdr:col>9</xdr:col>
      <xdr:colOff>361950</xdr:colOff>
      <xdr:row>39</xdr:row>
      <xdr:rowOff>28575</xdr:rowOff>
    </xdr:to>
    <xdr:sp macro="" textlink="">
      <xdr:nvSpPr>
        <xdr:cNvPr id="2071000" name="Text Box 260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352425</xdr:colOff>
      <xdr:row>38</xdr:row>
      <xdr:rowOff>0</xdr:rowOff>
    </xdr:from>
    <xdr:to>
      <xdr:col>9</xdr:col>
      <xdr:colOff>361950</xdr:colOff>
      <xdr:row>39</xdr:row>
      <xdr:rowOff>28575</xdr:rowOff>
    </xdr:to>
    <xdr:sp macro="" textlink="">
      <xdr:nvSpPr>
        <xdr:cNvPr id="2071001" name="Text Box 26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352425</xdr:colOff>
      <xdr:row>38</xdr:row>
      <xdr:rowOff>0</xdr:rowOff>
    </xdr:from>
    <xdr:to>
      <xdr:col>9</xdr:col>
      <xdr:colOff>361950</xdr:colOff>
      <xdr:row>39</xdr:row>
      <xdr:rowOff>28575</xdr:rowOff>
    </xdr:to>
    <xdr:sp macro="" textlink="">
      <xdr:nvSpPr>
        <xdr:cNvPr id="2071002" name="Text Box 97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352425</xdr:colOff>
      <xdr:row>38</xdr:row>
      <xdr:rowOff>0</xdr:rowOff>
    </xdr:from>
    <xdr:to>
      <xdr:col>9</xdr:col>
      <xdr:colOff>361950</xdr:colOff>
      <xdr:row>39</xdr:row>
      <xdr:rowOff>28575</xdr:rowOff>
    </xdr:to>
    <xdr:sp macro="" textlink="">
      <xdr:nvSpPr>
        <xdr:cNvPr id="2071003" name="Text Box 972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352425</xdr:colOff>
      <xdr:row>38</xdr:row>
      <xdr:rowOff>0</xdr:rowOff>
    </xdr:from>
    <xdr:to>
      <xdr:col>9</xdr:col>
      <xdr:colOff>361950</xdr:colOff>
      <xdr:row>39</xdr:row>
      <xdr:rowOff>28575</xdr:rowOff>
    </xdr:to>
    <xdr:sp macro="" textlink="">
      <xdr:nvSpPr>
        <xdr:cNvPr id="2071004" name="Text Box 973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352425</xdr:colOff>
      <xdr:row>38</xdr:row>
      <xdr:rowOff>0</xdr:rowOff>
    </xdr:from>
    <xdr:to>
      <xdr:col>9</xdr:col>
      <xdr:colOff>361950</xdr:colOff>
      <xdr:row>39</xdr:row>
      <xdr:rowOff>28575</xdr:rowOff>
    </xdr:to>
    <xdr:sp macro="" textlink="">
      <xdr:nvSpPr>
        <xdr:cNvPr id="2071005" name="Text Box 974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295275</xdr:colOff>
      <xdr:row>38</xdr:row>
      <xdr:rowOff>0</xdr:rowOff>
    </xdr:from>
    <xdr:to>
      <xdr:col>9</xdr:col>
      <xdr:colOff>400050</xdr:colOff>
      <xdr:row>39</xdr:row>
      <xdr:rowOff>28575</xdr:rowOff>
    </xdr:to>
    <xdr:sp macro="" textlink="">
      <xdr:nvSpPr>
        <xdr:cNvPr id="2071006" name="Text Box 168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295275</xdr:colOff>
      <xdr:row>38</xdr:row>
      <xdr:rowOff>0</xdr:rowOff>
    </xdr:from>
    <xdr:to>
      <xdr:col>9</xdr:col>
      <xdr:colOff>400050</xdr:colOff>
      <xdr:row>39</xdr:row>
      <xdr:rowOff>28575</xdr:rowOff>
    </xdr:to>
    <xdr:sp macro="" textlink="">
      <xdr:nvSpPr>
        <xdr:cNvPr id="2071007" name="Text Box 169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295275</xdr:colOff>
      <xdr:row>38</xdr:row>
      <xdr:rowOff>0</xdr:rowOff>
    </xdr:from>
    <xdr:to>
      <xdr:col>9</xdr:col>
      <xdr:colOff>400050</xdr:colOff>
      <xdr:row>39</xdr:row>
      <xdr:rowOff>28575</xdr:rowOff>
    </xdr:to>
    <xdr:sp macro="" textlink="">
      <xdr:nvSpPr>
        <xdr:cNvPr id="2071008" name="Text Box 170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295275</xdr:colOff>
      <xdr:row>38</xdr:row>
      <xdr:rowOff>0</xdr:rowOff>
    </xdr:from>
    <xdr:to>
      <xdr:col>9</xdr:col>
      <xdr:colOff>400050</xdr:colOff>
      <xdr:row>39</xdr:row>
      <xdr:rowOff>28575</xdr:rowOff>
    </xdr:to>
    <xdr:sp macro="" textlink="">
      <xdr:nvSpPr>
        <xdr:cNvPr id="2071009" name="Text Box 17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295275</xdr:colOff>
      <xdr:row>38</xdr:row>
      <xdr:rowOff>0</xdr:rowOff>
    </xdr:from>
    <xdr:to>
      <xdr:col>9</xdr:col>
      <xdr:colOff>400050</xdr:colOff>
      <xdr:row>39</xdr:row>
      <xdr:rowOff>28575</xdr:rowOff>
    </xdr:to>
    <xdr:sp macro="" textlink="">
      <xdr:nvSpPr>
        <xdr:cNvPr id="2071010" name="Text Box 172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295275</xdr:colOff>
      <xdr:row>38</xdr:row>
      <xdr:rowOff>0</xdr:rowOff>
    </xdr:from>
    <xdr:to>
      <xdr:col>9</xdr:col>
      <xdr:colOff>400050</xdr:colOff>
      <xdr:row>39</xdr:row>
      <xdr:rowOff>28575</xdr:rowOff>
    </xdr:to>
    <xdr:sp macro="" textlink="">
      <xdr:nvSpPr>
        <xdr:cNvPr id="2071011" name="Text Box 173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295275</xdr:colOff>
      <xdr:row>38</xdr:row>
      <xdr:rowOff>0</xdr:rowOff>
    </xdr:from>
    <xdr:to>
      <xdr:col>9</xdr:col>
      <xdr:colOff>400050</xdr:colOff>
      <xdr:row>39</xdr:row>
      <xdr:rowOff>28575</xdr:rowOff>
    </xdr:to>
    <xdr:sp macro="" textlink="">
      <xdr:nvSpPr>
        <xdr:cNvPr id="2071012" name="Text Box 174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295275</xdr:colOff>
      <xdr:row>38</xdr:row>
      <xdr:rowOff>0</xdr:rowOff>
    </xdr:from>
    <xdr:to>
      <xdr:col>9</xdr:col>
      <xdr:colOff>400050</xdr:colOff>
      <xdr:row>39</xdr:row>
      <xdr:rowOff>28575</xdr:rowOff>
    </xdr:to>
    <xdr:sp macro="" textlink="">
      <xdr:nvSpPr>
        <xdr:cNvPr id="2071013" name="Text Box 175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295275</xdr:colOff>
      <xdr:row>38</xdr:row>
      <xdr:rowOff>0</xdr:rowOff>
    </xdr:from>
    <xdr:to>
      <xdr:col>9</xdr:col>
      <xdr:colOff>400050</xdr:colOff>
      <xdr:row>39</xdr:row>
      <xdr:rowOff>28575</xdr:rowOff>
    </xdr:to>
    <xdr:sp macro="" textlink="">
      <xdr:nvSpPr>
        <xdr:cNvPr id="2071014" name="Text Box 198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295275</xdr:colOff>
      <xdr:row>38</xdr:row>
      <xdr:rowOff>0</xdr:rowOff>
    </xdr:from>
    <xdr:to>
      <xdr:col>9</xdr:col>
      <xdr:colOff>400050</xdr:colOff>
      <xdr:row>39</xdr:row>
      <xdr:rowOff>28575</xdr:rowOff>
    </xdr:to>
    <xdr:sp macro="" textlink="">
      <xdr:nvSpPr>
        <xdr:cNvPr id="2071015" name="Text Box 199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295275</xdr:colOff>
      <xdr:row>38</xdr:row>
      <xdr:rowOff>0</xdr:rowOff>
    </xdr:from>
    <xdr:to>
      <xdr:col>9</xdr:col>
      <xdr:colOff>400050</xdr:colOff>
      <xdr:row>39</xdr:row>
      <xdr:rowOff>28575</xdr:rowOff>
    </xdr:to>
    <xdr:sp macro="" textlink="">
      <xdr:nvSpPr>
        <xdr:cNvPr id="2071016" name="Text Box 200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295275</xdr:colOff>
      <xdr:row>38</xdr:row>
      <xdr:rowOff>0</xdr:rowOff>
    </xdr:from>
    <xdr:to>
      <xdr:col>9</xdr:col>
      <xdr:colOff>400050</xdr:colOff>
      <xdr:row>39</xdr:row>
      <xdr:rowOff>28575</xdr:rowOff>
    </xdr:to>
    <xdr:sp macro="" textlink="">
      <xdr:nvSpPr>
        <xdr:cNvPr id="2071017" name="Text Box 20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295275</xdr:colOff>
      <xdr:row>38</xdr:row>
      <xdr:rowOff>0</xdr:rowOff>
    </xdr:from>
    <xdr:to>
      <xdr:col>9</xdr:col>
      <xdr:colOff>400050</xdr:colOff>
      <xdr:row>39</xdr:row>
      <xdr:rowOff>28575</xdr:rowOff>
    </xdr:to>
    <xdr:sp macro="" textlink="">
      <xdr:nvSpPr>
        <xdr:cNvPr id="2071018" name="Text Box 202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295275</xdr:colOff>
      <xdr:row>38</xdr:row>
      <xdr:rowOff>0</xdr:rowOff>
    </xdr:from>
    <xdr:to>
      <xdr:col>9</xdr:col>
      <xdr:colOff>400050</xdr:colOff>
      <xdr:row>39</xdr:row>
      <xdr:rowOff>28575</xdr:rowOff>
    </xdr:to>
    <xdr:sp macro="" textlink="">
      <xdr:nvSpPr>
        <xdr:cNvPr id="2071019" name="Text Box 203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295275</xdr:colOff>
      <xdr:row>38</xdr:row>
      <xdr:rowOff>0</xdr:rowOff>
    </xdr:from>
    <xdr:to>
      <xdr:col>9</xdr:col>
      <xdr:colOff>400050</xdr:colOff>
      <xdr:row>39</xdr:row>
      <xdr:rowOff>28575</xdr:rowOff>
    </xdr:to>
    <xdr:sp macro="" textlink="">
      <xdr:nvSpPr>
        <xdr:cNvPr id="2071020" name="Text Box 204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295275</xdr:colOff>
      <xdr:row>38</xdr:row>
      <xdr:rowOff>0</xdr:rowOff>
    </xdr:from>
    <xdr:to>
      <xdr:col>9</xdr:col>
      <xdr:colOff>400050</xdr:colOff>
      <xdr:row>39</xdr:row>
      <xdr:rowOff>28575</xdr:rowOff>
    </xdr:to>
    <xdr:sp macro="" textlink="">
      <xdr:nvSpPr>
        <xdr:cNvPr id="2071021" name="Text Box 260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295275</xdr:colOff>
      <xdr:row>38</xdr:row>
      <xdr:rowOff>0</xdr:rowOff>
    </xdr:from>
    <xdr:to>
      <xdr:col>9</xdr:col>
      <xdr:colOff>400050</xdr:colOff>
      <xdr:row>39</xdr:row>
      <xdr:rowOff>28575</xdr:rowOff>
    </xdr:to>
    <xdr:sp macro="" textlink="">
      <xdr:nvSpPr>
        <xdr:cNvPr id="2071022" name="Text Box 26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295275</xdr:colOff>
      <xdr:row>38</xdr:row>
      <xdr:rowOff>0</xdr:rowOff>
    </xdr:from>
    <xdr:to>
      <xdr:col>9</xdr:col>
      <xdr:colOff>400050</xdr:colOff>
      <xdr:row>39</xdr:row>
      <xdr:rowOff>28575</xdr:rowOff>
    </xdr:to>
    <xdr:sp macro="" textlink="">
      <xdr:nvSpPr>
        <xdr:cNvPr id="2071023" name="Text Box 97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295275</xdr:colOff>
      <xdr:row>38</xdr:row>
      <xdr:rowOff>0</xdr:rowOff>
    </xdr:from>
    <xdr:to>
      <xdr:col>9</xdr:col>
      <xdr:colOff>400050</xdr:colOff>
      <xdr:row>39</xdr:row>
      <xdr:rowOff>28575</xdr:rowOff>
    </xdr:to>
    <xdr:sp macro="" textlink="">
      <xdr:nvSpPr>
        <xdr:cNvPr id="2071024" name="Text Box 972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295275</xdr:colOff>
      <xdr:row>38</xdr:row>
      <xdr:rowOff>0</xdr:rowOff>
    </xdr:from>
    <xdr:to>
      <xdr:col>9</xdr:col>
      <xdr:colOff>400050</xdr:colOff>
      <xdr:row>39</xdr:row>
      <xdr:rowOff>28575</xdr:rowOff>
    </xdr:to>
    <xdr:sp macro="" textlink="">
      <xdr:nvSpPr>
        <xdr:cNvPr id="2071025" name="Text Box 973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295275</xdr:colOff>
      <xdr:row>38</xdr:row>
      <xdr:rowOff>0</xdr:rowOff>
    </xdr:from>
    <xdr:to>
      <xdr:col>9</xdr:col>
      <xdr:colOff>400050</xdr:colOff>
      <xdr:row>39</xdr:row>
      <xdr:rowOff>28575</xdr:rowOff>
    </xdr:to>
    <xdr:sp macro="" textlink="">
      <xdr:nvSpPr>
        <xdr:cNvPr id="2071026" name="Text Box 974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352425</xdr:colOff>
      <xdr:row>38</xdr:row>
      <xdr:rowOff>0</xdr:rowOff>
    </xdr:from>
    <xdr:to>
      <xdr:col>10</xdr:col>
      <xdr:colOff>361950</xdr:colOff>
      <xdr:row>39</xdr:row>
      <xdr:rowOff>28575</xdr:rowOff>
    </xdr:to>
    <xdr:sp macro="" textlink="">
      <xdr:nvSpPr>
        <xdr:cNvPr id="2071027" name="Text Box 168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352425</xdr:colOff>
      <xdr:row>38</xdr:row>
      <xdr:rowOff>0</xdr:rowOff>
    </xdr:from>
    <xdr:to>
      <xdr:col>10</xdr:col>
      <xdr:colOff>361950</xdr:colOff>
      <xdr:row>39</xdr:row>
      <xdr:rowOff>28575</xdr:rowOff>
    </xdr:to>
    <xdr:sp macro="" textlink="">
      <xdr:nvSpPr>
        <xdr:cNvPr id="2071028" name="Text Box 169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352425</xdr:colOff>
      <xdr:row>38</xdr:row>
      <xdr:rowOff>0</xdr:rowOff>
    </xdr:from>
    <xdr:to>
      <xdr:col>10</xdr:col>
      <xdr:colOff>361950</xdr:colOff>
      <xdr:row>39</xdr:row>
      <xdr:rowOff>28575</xdr:rowOff>
    </xdr:to>
    <xdr:sp macro="" textlink="">
      <xdr:nvSpPr>
        <xdr:cNvPr id="2071029" name="Text Box 170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352425</xdr:colOff>
      <xdr:row>38</xdr:row>
      <xdr:rowOff>0</xdr:rowOff>
    </xdr:from>
    <xdr:to>
      <xdr:col>10</xdr:col>
      <xdr:colOff>361950</xdr:colOff>
      <xdr:row>39</xdr:row>
      <xdr:rowOff>28575</xdr:rowOff>
    </xdr:to>
    <xdr:sp macro="" textlink="">
      <xdr:nvSpPr>
        <xdr:cNvPr id="2071030" name="Text Box 17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352425</xdr:colOff>
      <xdr:row>38</xdr:row>
      <xdr:rowOff>0</xdr:rowOff>
    </xdr:from>
    <xdr:to>
      <xdr:col>10</xdr:col>
      <xdr:colOff>361950</xdr:colOff>
      <xdr:row>39</xdr:row>
      <xdr:rowOff>28575</xdr:rowOff>
    </xdr:to>
    <xdr:sp macro="" textlink="">
      <xdr:nvSpPr>
        <xdr:cNvPr id="2071031" name="Text Box 172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352425</xdr:colOff>
      <xdr:row>38</xdr:row>
      <xdr:rowOff>0</xdr:rowOff>
    </xdr:from>
    <xdr:to>
      <xdr:col>10</xdr:col>
      <xdr:colOff>361950</xdr:colOff>
      <xdr:row>39</xdr:row>
      <xdr:rowOff>28575</xdr:rowOff>
    </xdr:to>
    <xdr:sp macro="" textlink="">
      <xdr:nvSpPr>
        <xdr:cNvPr id="2071032" name="Text Box 173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352425</xdr:colOff>
      <xdr:row>38</xdr:row>
      <xdr:rowOff>0</xdr:rowOff>
    </xdr:from>
    <xdr:to>
      <xdr:col>10</xdr:col>
      <xdr:colOff>361950</xdr:colOff>
      <xdr:row>39</xdr:row>
      <xdr:rowOff>28575</xdr:rowOff>
    </xdr:to>
    <xdr:sp macro="" textlink="">
      <xdr:nvSpPr>
        <xdr:cNvPr id="2071033" name="Text Box 174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352425</xdr:colOff>
      <xdr:row>38</xdr:row>
      <xdr:rowOff>0</xdr:rowOff>
    </xdr:from>
    <xdr:to>
      <xdr:col>10</xdr:col>
      <xdr:colOff>361950</xdr:colOff>
      <xdr:row>39</xdr:row>
      <xdr:rowOff>28575</xdr:rowOff>
    </xdr:to>
    <xdr:sp macro="" textlink="">
      <xdr:nvSpPr>
        <xdr:cNvPr id="2071034" name="Text Box 175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352425</xdr:colOff>
      <xdr:row>38</xdr:row>
      <xdr:rowOff>0</xdr:rowOff>
    </xdr:from>
    <xdr:to>
      <xdr:col>10</xdr:col>
      <xdr:colOff>361950</xdr:colOff>
      <xdr:row>39</xdr:row>
      <xdr:rowOff>28575</xdr:rowOff>
    </xdr:to>
    <xdr:sp macro="" textlink="">
      <xdr:nvSpPr>
        <xdr:cNvPr id="2071035" name="Text Box 198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352425</xdr:colOff>
      <xdr:row>38</xdr:row>
      <xdr:rowOff>0</xdr:rowOff>
    </xdr:from>
    <xdr:to>
      <xdr:col>10</xdr:col>
      <xdr:colOff>361950</xdr:colOff>
      <xdr:row>39</xdr:row>
      <xdr:rowOff>28575</xdr:rowOff>
    </xdr:to>
    <xdr:sp macro="" textlink="">
      <xdr:nvSpPr>
        <xdr:cNvPr id="2071036" name="Text Box 199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352425</xdr:colOff>
      <xdr:row>38</xdr:row>
      <xdr:rowOff>0</xdr:rowOff>
    </xdr:from>
    <xdr:to>
      <xdr:col>10</xdr:col>
      <xdr:colOff>361950</xdr:colOff>
      <xdr:row>39</xdr:row>
      <xdr:rowOff>28575</xdr:rowOff>
    </xdr:to>
    <xdr:sp macro="" textlink="">
      <xdr:nvSpPr>
        <xdr:cNvPr id="2071037" name="Text Box 200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352425</xdr:colOff>
      <xdr:row>38</xdr:row>
      <xdr:rowOff>0</xdr:rowOff>
    </xdr:from>
    <xdr:to>
      <xdr:col>10</xdr:col>
      <xdr:colOff>361950</xdr:colOff>
      <xdr:row>39</xdr:row>
      <xdr:rowOff>28575</xdr:rowOff>
    </xdr:to>
    <xdr:sp macro="" textlink="">
      <xdr:nvSpPr>
        <xdr:cNvPr id="2071038" name="Text Box 20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352425</xdr:colOff>
      <xdr:row>38</xdr:row>
      <xdr:rowOff>0</xdr:rowOff>
    </xdr:from>
    <xdr:to>
      <xdr:col>10</xdr:col>
      <xdr:colOff>361950</xdr:colOff>
      <xdr:row>39</xdr:row>
      <xdr:rowOff>28575</xdr:rowOff>
    </xdr:to>
    <xdr:sp macro="" textlink="">
      <xdr:nvSpPr>
        <xdr:cNvPr id="2071039" name="Text Box 202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352425</xdr:colOff>
      <xdr:row>38</xdr:row>
      <xdr:rowOff>0</xdr:rowOff>
    </xdr:from>
    <xdr:to>
      <xdr:col>10</xdr:col>
      <xdr:colOff>361950</xdr:colOff>
      <xdr:row>39</xdr:row>
      <xdr:rowOff>28575</xdr:rowOff>
    </xdr:to>
    <xdr:sp macro="" textlink="">
      <xdr:nvSpPr>
        <xdr:cNvPr id="2071040" name="Text Box 203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352425</xdr:colOff>
      <xdr:row>38</xdr:row>
      <xdr:rowOff>0</xdr:rowOff>
    </xdr:from>
    <xdr:to>
      <xdr:col>10</xdr:col>
      <xdr:colOff>361950</xdr:colOff>
      <xdr:row>39</xdr:row>
      <xdr:rowOff>28575</xdr:rowOff>
    </xdr:to>
    <xdr:sp macro="" textlink="">
      <xdr:nvSpPr>
        <xdr:cNvPr id="2071041" name="Text Box 204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352425</xdr:colOff>
      <xdr:row>38</xdr:row>
      <xdr:rowOff>0</xdr:rowOff>
    </xdr:from>
    <xdr:to>
      <xdr:col>10</xdr:col>
      <xdr:colOff>361950</xdr:colOff>
      <xdr:row>39</xdr:row>
      <xdr:rowOff>28575</xdr:rowOff>
    </xdr:to>
    <xdr:sp macro="" textlink="">
      <xdr:nvSpPr>
        <xdr:cNvPr id="2071042" name="Text Box 260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352425</xdr:colOff>
      <xdr:row>38</xdr:row>
      <xdr:rowOff>0</xdr:rowOff>
    </xdr:from>
    <xdr:to>
      <xdr:col>10</xdr:col>
      <xdr:colOff>361950</xdr:colOff>
      <xdr:row>39</xdr:row>
      <xdr:rowOff>28575</xdr:rowOff>
    </xdr:to>
    <xdr:sp macro="" textlink="">
      <xdr:nvSpPr>
        <xdr:cNvPr id="2071043" name="Text Box 26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352425</xdr:colOff>
      <xdr:row>38</xdr:row>
      <xdr:rowOff>0</xdr:rowOff>
    </xdr:from>
    <xdr:to>
      <xdr:col>10</xdr:col>
      <xdr:colOff>361950</xdr:colOff>
      <xdr:row>39</xdr:row>
      <xdr:rowOff>28575</xdr:rowOff>
    </xdr:to>
    <xdr:sp macro="" textlink="">
      <xdr:nvSpPr>
        <xdr:cNvPr id="2071044" name="Text Box 97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352425</xdr:colOff>
      <xdr:row>38</xdr:row>
      <xdr:rowOff>0</xdr:rowOff>
    </xdr:from>
    <xdr:to>
      <xdr:col>10</xdr:col>
      <xdr:colOff>361950</xdr:colOff>
      <xdr:row>39</xdr:row>
      <xdr:rowOff>28575</xdr:rowOff>
    </xdr:to>
    <xdr:sp macro="" textlink="">
      <xdr:nvSpPr>
        <xdr:cNvPr id="2071045" name="Text Box 972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352425</xdr:colOff>
      <xdr:row>38</xdr:row>
      <xdr:rowOff>0</xdr:rowOff>
    </xdr:from>
    <xdr:to>
      <xdr:col>10</xdr:col>
      <xdr:colOff>361950</xdr:colOff>
      <xdr:row>39</xdr:row>
      <xdr:rowOff>28575</xdr:rowOff>
    </xdr:to>
    <xdr:sp macro="" textlink="">
      <xdr:nvSpPr>
        <xdr:cNvPr id="2071046" name="Text Box 973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352425</xdr:colOff>
      <xdr:row>38</xdr:row>
      <xdr:rowOff>0</xdr:rowOff>
    </xdr:from>
    <xdr:to>
      <xdr:col>10</xdr:col>
      <xdr:colOff>361950</xdr:colOff>
      <xdr:row>39</xdr:row>
      <xdr:rowOff>28575</xdr:rowOff>
    </xdr:to>
    <xdr:sp macro="" textlink="">
      <xdr:nvSpPr>
        <xdr:cNvPr id="2071047" name="Text Box 974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295275</xdr:colOff>
      <xdr:row>38</xdr:row>
      <xdr:rowOff>0</xdr:rowOff>
    </xdr:from>
    <xdr:to>
      <xdr:col>10</xdr:col>
      <xdr:colOff>400050</xdr:colOff>
      <xdr:row>39</xdr:row>
      <xdr:rowOff>28575</xdr:rowOff>
    </xdr:to>
    <xdr:sp macro="" textlink="">
      <xdr:nvSpPr>
        <xdr:cNvPr id="2071048" name="Text Box 168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295275</xdr:colOff>
      <xdr:row>38</xdr:row>
      <xdr:rowOff>0</xdr:rowOff>
    </xdr:from>
    <xdr:to>
      <xdr:col>10</xdr:col>
      <xdr:colOff>400050</xdr:colOff>
      <xdr:row>39</xdr:row>
      <xdr:rowOff>28575</xdr:rowOff>
    </xdr:to>
    <xdr:sp macro="" textlink="">
      <xdr:nvSpPr>
        <xdr:cNvPr id="2071049" name="Text Box 169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295275</xdr:colOff>
      <xdr:row>38</xdr:row>
      <xdr:rowOff>0</xdr:rowOff>
    </xdr:from>
    <xdr:to>
      <xdr:col>10</xdr:col>
      <xdr:colOff>400050</xdr:colOff>
      <xdr:row>39</xdr:row>
      <xdr:rowOff>28575</xdr:rowOff>
    </xdr:to>
    <xdr:sp macro="" textlink="">
      <xdr:nvSpPr>
        <xdr:cNvPr id="2071050" name="Text Box 170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295275</xdr:colOff>
      <xdr:row>38</xdr:row>
      <xdr:rowOff>0</xdr:rowOff>
    </xdr:from>
    <xdr:to>
      <xdr:col>10</xdr:col>
      <xdr:colOff>400050</xdr:colOff>
      <xdr:row>39</xdr:row>
      <xdr:rowOff>28575</xdr:rowOff>
    </xdr:to>
    <xdr:sp macro="" textlink="">
      <xdr:nvSpPr>
        <xdr:cNvPr id="2071051" name="Text Box 17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295275</xdr:colOff>
      <xdr:row>38</xdr:row>
      <xdr:rowOff>0</xdr:rowOff>
    </xdr:from>
    <xdr:to>
      <xdr:col>10</xdr:col>
      <xdr:colOff>400050</xdr:colOff>
      <xdr:row>39</xdr:row>
      <xdr:rowOff>28575</xdr:rowOff>
    </xdr:to>
    <xdr:sp macro="" textlink="">
      <xdr:nvSpPr>
        <xdr:cNvPr id="2071052" name="Text Box 172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295275</xdr:colOff>
      <xdr:row>38</xdr:row>
      <xdr:rowOff>0</xdr:rowOff>
    </xdr:from>
    <xdr:to>
      <xdr:col>10</xdr:col>
      <xdr:colOff>400050</xdr:colOff>
      <xdr:row>39</xdr:row>
      <xdr:rowOff>28575</xdr:rowOff>
    </xdr:to>
    <xdr:sp macro="" textlink="">
      <xdr:nvSpPr>
        <xdr:cNvPr id="2071053" name="Text Box 173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295275</xdr:colOff>
      <xdr:row>38</xdr:row>
      <xdr:rowOff>0</xdr:rowOff>
    </xdr:from>
    <xdr:to>
      <xdr:col>10</xdr:col>
      <xdr:colOff>400050</xdr:colOff>
      <xdr:row>39</xdr:row>
      <xdr:rowOff>28575</xdr:rowOff>
    </xdr:to>
    <xdr:sp macro="" textlink="">
      <xdr:nvSpPr>
        <xdr:cNvPr id="2071054" name="Text Box 174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295275</xdr:colOff>
      <xdr:row>38</xdr:row>
      <xdr:rowOff>0</xdr:rowOff>
    </xdr:from>
    <xdr:to>
      <xdr:col>10</xdr:col>
      <xdr:colOff>400050</xdr:colOff>
      <xdr:row>39</xdr:row>
      <xdr:rowOff>28575</xdr:rowOff>
    </xdr:to>
    <xdr:sp macro="" textlink="">
      <xdr:nvSpPr>
        <xdr:cNvPr id="2071055" name="Text Box 175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295275</xdr:colOff>
      <xdr:row>38</xdr:row>
      <xdr:rowOff>0</xdr:rowOff>
    </xdr:from>
    <xdr:to>
      <xdr:col>10</xdr:col>
      <xdr:colOff>400050</xdr:colOff>
      <xdr:row>39</xdr:row>
      <xdr:rowOff>28575</xdr:rowOff>
    </xdr:to>
    <xdr:sp macro="" textlink="">
      <xdr:nvSpPr>
        <xdr:cNvPr id="2071056" name="Text Box 198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295275</xdr:colOff>
      <xdr:row>38</xdr:row>
      <xdr:rowOff>0</xdr:rowOff>
    </xdr:from>
    <xdr:to>
      <xdr:col>10</xdr:col>
      <xdr:colOff>400050</xdr:colOff>
      <xdr:row>39</xdr:row>
      <xdr:rowOff>28575</xdr:rowOff>
    </xdr:to>
    <xdr:sp macro="" textlink="">
      <xdr:nvSpPr>
        <xdr:cNvPr id="2071057" name="Text Box 199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295275</xdr:colOff>
      <xdr:row>38</xdr:row>
      <xdr:rowOff>0</xdr:rowOff>
    </xdr:from>
    <xdr:to>
      <xdr:col>10</xdr:col>
      <xdr:colOff>400050</xdr:colOff>
      <xdr:row>39</xdr:row>
      <xdr:rowOff>28575</xdr:rowOff>
    </xdr:to>
    <xdr:sp macro="" textlink="">
      <xdr:nvSpPr>
        <xdr:cNvPr id="2071058" name="Text Box 200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295275</xdr:colOff>
      <xdr:row>38</xdr:row>
      <xdr:rowOff>0</xdr:rowOff>
    </xdr:from>
    <xdr:to>
      <xdr:col>10</xdr:col>
      <xdr:colOff>400050</xdr:colOff>
      <xdr:row>39</xdr:row>
      <xdr:rowOff>28575</xdr:rowOff>
    </xdr:to>
    <xdr:sp macro="" textlink="">
      <xdr:nvSpPr>
        <xdr:cNvPr id="2071059" name="Text Box 20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295275</xdr:colOff>
      <xdr:row>38</xdr:row>
      <xdr:rowOff>0</xdr:rowOff>
    </xdr:from>
    <xdr:to>
      <xdr:col>10</xdr:col>
      <xdr:colOff>400050</xdr:colOff>
      <xdr:row>39</xdr:row>
      <xdr:rowOff>28575</xdr:rowOff>
    </xdr:to>
    <xdr:sp macro="" textlink="">
      <xdr:nvSpPr>
        <xdr:cNvPr id="2071060" name="Text Box 202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295275</xdr:colOff>
      <xdr:row>38</xdr:row>
      <xdr:rowOff>0</xdr:rowOff>
    </xdr:from>
    <xdr:to>
      <xdr:col>10</xdr:col>
      <xdr:colOff>400050</xdr:colOff>
      <xdr:row>39</xdr:row>
      <xdr:rowOff>28575</xdr:rowOff>
    </xdr:to>
    <xdr:sp macro="" textlink="">
      <xdr:nvSpPr>
        <xdr:cNvPr id="2071061" name="Text Box 203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295275</xdr:colOff>
      <xdr:row>38</xdr:row>
      <xdr:rowOff>0</xdr:rowOff>
    </xdr:from>
    <xdr:to>
      <xdr:col>10</xdr:col>
      <xdr:colOff>400050</xdr:colOff>
      <xdr:row>39</xdr:row>
      <xdr:rowOff>28575</xdr:rowOff>
    </xdr:to>
    <xdr:sp macro="" textlink="">
      <xdr:nvSpPr>
        <xdr:cNvPr id="2071062" name="Text Box 204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295275</xdr:colOff>
      <xdr:row>38</xdr:row>
      <xdr:rowOff>0</xdr:rowOff>
    </xdr:from>
    <xdr:to>
      <xdr:col>10</xdr:col>
      <xdr:colOff>400050</xdr:colOff>
      <xdr:row>39</xdr:row>
      <xdr:rowOff>28575</xdr:rowOff>
    </xdr:to>
    <xdr:sp macro="" textlink="">
      <xdr:nvSpPr>
        <xdr:cNvPr id="2071063" name="Text Box 260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295275</xdr:colOff>
      <xdr:row>38</xdr:row>
      <xdr:rowOff>0</xdr:rowOff>
    </xdr:from>
    <xdr:to>
      <xdr:col>10</xdr:col>
      <xdr:colOff>400050</xdr:colOff>
      <xdr:row>39</xdr:row>
      <xdr:rowOff>28575</xdr:rowOff>
    </xdr:to>
    <xdr:sp macro="" textlink="">
      <xdr:nvSpPr>
        <xdr:cNvPr id="2071064" name="Text Box 26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295275</xdr:colOff>
      <xdr:row>38</xdr:row>
      <xdr:rowOff>0</xdr:rowOff>
    </xdr:from>
    <xdr:to>
      <xdr:col>10</xdr:col>
      <xdr:colOff>400050</xdr:colOff>
      <xdr:row>39</xdr:row>
      <xdr:rowOff>28575</xdr:rowOff>
    </xdr:to>
    <xdr:sp macro="" textlink="">
      <xdr:nvSpPr>
        <xdr:cNvPr id="2071065" name="Text Box 97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295275</xdr:colOff>
      <xdr:row>38</xdr:row>
      <xdr:rowOff>0</xdr:rowOff>
    </xdr:from>
    <xdr:to>
      <xdr:col>10</xdr:col>
      <xdr:colOff>400050</xdr:colOff>
      <xdr:row>39</xdr:row>
      <xdr:rowOff>28575</xdr:rowOff>
    </xdr:to>
    <xdr:sp macro="" textlink="">
      <xdr:nvSpPr>
        <xdr:cNvPr id="2071066" name="Text Box 972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295275</xdr:colOff>
      <xdr:row>38</xdr:row>
      <xdr:rowOff>0</xdr:rowOff>
    </xdr:from>
    <xdr:to>
      <xdr:col>10</xdr:col>
      <xdr:colOff>400050</xdr:colOff>
      <xdr:row>39</xdr:row>
      <xdr:rowOff>28575</xdr:rowOff>
    </xdr:to>
    <xdr:sp macro="" textlink="">
      <xdr:nvSpPr>
        <xdr:cNvPr id="2071067" name="Text Box 973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295275</xdr:colOff>
      <xdr:row>38</xdr:row>
      <xdr:rowOff>0</xdr:rowOff>
    </xdr:from>
    <xdr:to>
      <xdr:col>10</xdr:col>
      <xdr:colOff>400050</xdr:colOff>
      <xdr:row>39</xdr:row>
      <xdr:rowOff>28575</xdr:rowOff>
    </xdr:to>
    <xdr:sp macro="" textlink="">
      <xdr:nvSpPr>
        <xdr:cNvPr id="2071068" name="Text Box 974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352425</xdr:colOff>
      <xdr:row>38</xdr:row>
      <xdr:rowOff>0</xdr:rowOff>
    </xdr:from>
    <xdr:to>
      <xdr:col>9</xdr:col>
      <xdr:colOff>361950</xdr:colOff>
      <xdr:row>39</xdr:row>
      <xdr:rowOff>28575</xdr:rowOff>
    </xdr:to>
    <xdr:sp macro="" textlink="">
      <xdr:nvSpPr>
        <xdr:cNvPr id="2071069" name="Text Box 168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352425</xdr:colOff>
      <xdr:row>38</xdr:row>
      <xdr:rowOff>0</xdr:rowOff>
    </xdr:from>
    <xdr:to>
      <xdr:col>9</xdr:col>
      <xdr:colOff>361950</xdr:colOff>
      <xdr:row>39</xdr:row>
      <xdr:rowOff>28575</xdr:rowOff>
    </xdr:to>
    <xdr:sp macro="" textlink="">
      <xdr:nvSpPr>
        <xdr:cNvPr id="2071070" name="Text Box 169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352425</xdr:colOff>
      <xdr:row>38</xdr:row>
      <xdr:rowOff>0</xdr:rowOff>
    </xdr:from>
    <xdr:to>
      <xdr:col>9</xdr:col>
      <xdr:colOff>361950</xdr:colOff>
      <xdr:row>39</xdr:row>
      <xdr:rowOff>28575</xdr:rowOff>
    </xdr:to>
    <xdr:sp macro="" textlink="">
      <xdr:nvSpPr>
        <xdr:cNvPr id="2071071" name="Text Box 170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352425</xdr:colOff>
      <xdr:row>38</xdr:row>
      <xdr:rowOff>0</xdr:rowOff>
    </xdr:from>
    <xdr:to>
      <xdr:col>9</xdr:col>
      <xdr:colOff>361950</xdr:colOff>
      <xdr:row>39</xdr:row>
      <xdr:rowOff>28575</xdr:rowOff>
    </xdr:to>
    <xdr:sp macro="" textlink="">
      <xdr:nvSpPr>
        <xdr:cNvPr id="2071072" name="Text Box 17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352425</xdr:colOff>
      <xdr:row>38</xdr:row>
      <xdr:rowOff>0</xdr:rowOff>
    </xdr:from>
    <xdr:to>
      <xdr:col>9</xdr:col>
      <xdr:colOff>361950</xdr:colOff>
      <xdr:row>39</xdr:row>
      <xdr:rowOff>28575</xdr:rowOff>
    </xdr:to>
    <xdr:sp macro="" textlink="">
      <xdr:nvSpPr>
        <xdr:cNvPr id="2071073" name="Text Box 172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352425</xdr:colOff>
      <xdr:row>38</xdr:row>
      <xdr:rowOff>0</xdr:rowOff>
    </xdr:from>
    <xdr:to>
      <xdr:col>9</xdr:col>
      <xdr:colOff>361950</xdr:colOff>
      <xdr:row>39</xdr:row>
      <xdr:rowOff>28575</xdr:rowOff>
    </xdr:to>
    <xdr:sp macro="" textlink="">
      <xdr:nvSpPr>
        <xdr:cNvPr id="2071074" name="Text Box 173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352425</xdr:colOff>
      <xdr:row>38</xdr:row>
      <xdr:rowOff>0</xdr:rowOff>
    </xdr:from>
    <xdr:to>
      <xdr:col>9</xdr:col>
      <xdr:colOff>361950</xdr:colOff>
      <xdr:row>39</xdr:row>
      <xdr:rowOff>28575</xdr:rowOff>
    </xdr:to>
    <xdr:sp macro="" textlink="">
      <xdr:nvSpPr>
        <xdr:cNvPr id="2071075" name="Text Box 174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352425</xdr:colOff>
      <xdr:row>38</xdr:row>
      <xdr:rowOff>0</xdr:rowOff>
    </xdr:from>
    <xdr:to>
      <xdr:col>9</xdr:col>
      <xdr:colOff>361950</xdr:colOff>
      <xdr:row>39</xdr:row>
      <xdr:rowOff>28575</xdr:rowOff>
    </xdr:to>
    <xdr:sp macro="" textlink="">
      <xdr:nvSpPr>
        <xdr:cNvPr id="2071076" name="Text Box 175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352425</xdr:colOff>
      <xdr:row>38</xdr:row>
      <xdr:rowOff>0</xdr:rowOff>
    </xdr:from>
    <xdr:to>
      <xdr:col>9</xdr:col>
      <xdr:colOff>361950</xdr:colOff>
      <xdr:row>39</xdr:row>
      <xdr:rowOff>28575</xdr:rowOff>
    </xdr:to>
    <xdr:sp macro="" textlink="">
      <xdr:nvSpPr>
        <xdr:cNvPr id="2071077" name="Text Box 198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352425</xdr:colOff>
      <xdr:row>38</xdr:row>
      <xdr:rowOff>0</xdr:rowOff>
    </xdr:from>
    <xdr:to>
      <xdr:col>9</xdr:col>
      <xdr:colOff>361950</xdr:colOff>
      <xdr:row>39</xdr:row>
      <xdr:rowOff>28575</xdr:rowOff>
    </xdr:to>
    <xdr:sp macro="" textlink="">
      <xdr:nvSpPr>
        <xdr:cNvPr id="2071078" name="Text Box 199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352425</xdr:colOff>
      <xdr:row>38</xdr:row>
      <xdr:rowOff>0</xdr:rowOff>
    </xdr:from>
    <xdr:to>
      <xdr:col>9</xdr:col>
      <xdr:colOff>361950</xdr:colOff>
      <xdr:row>39</xdr:row>
      <xdr:rowOff>28575</xdr:rowOff>
    </xdr:to>
    <xdr:sp macro="" textlink="">
      <xdr:nvSpPr>
        <xdr:cNvPr id="2071079" name="Text Box 200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352425</xdr:colOff>
      <xdr:row>38</xdr:row>
      <xdr:rowOff>0</xdr:rowOff>
    </xdr:from>
    <xdr:to>
      <xdr:col>9</xdr:col>
      <xdr:colOff>361950</xdr:colOff>
      <xdr:row>39</xdr:row>
      <xdr:rowOff>28575</xdr:rowOff>
    </xdr:to>
    <xdr:sp macro="" textlink="">
      <xdr:nvSpPr>
        <xdr:cNvPr id="2071080" name="Text Box 20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352425</xdr:colOff>
      <xdr:row>38</xdr:row>
      <xdr:rowOff>0</xdr:rowOff>
    </xdr:from>
    <xdr:to>
      <xdr:col>9</xdr:col>
      <xdr:colOff>361950</xdr:colOff>
      <xdr:row>39</xdr:row>
      <xdr:rowOff>28575</xdr:rowOff>
    </xdr:to>
    <xdr:sp macro="" textlink="">
      <xdr:nvSpPr>
        <xdr:cNvPr id="2071081" name="Text Box 202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352425</xdr:colOff>
      <xdr:row>38</xdr:row>
      <xdr:rowOff>0</xdr:rowOff>
    </xdr:from>
    <xdr:to>
      <xdr:col>9</xdr:col>
      <xdr:colOff>361950</xdr:colOff>
      <xdr:row>39</xdr:row>
      <xdr:rowOff>28575</xdr:rowOff>
    </xdr:to>
    <xdr:sp macro="" textlink="">
      <xdr:nvSpPr>
        <xdr:cNvPr id="2071082" name="Text Box 203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352425</xdr:colOff>
      <xdr:row>38</xdr:row>
      <xdr:rowOff>0</xdr:rowOff>
    </xdr:from>
    <xdr:to>
      <xdr:col>9</xdr:col>
      <xdr:colOff>361950</xdr:colOff>
      <xdr:row>39</xdr:row>
      <xdr:rowOff>28575</xdr:rowOff>
    </xdr:to>
    <xdr:sp macro="" textlink="">
      <xdr:nvSpPr>
        <xdr:cNvPr id="2071083" name="Text Box 204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352425</xdr:colOff>
      <xdr:row>38</xdr:row>
      <xdr:rowOff>0</xdr:rowOff>
    </xdr:from>
    <xdr:to>
      <xdr:col>9</xdr:col>
      <xdr:colOff>361950</xdr:colOff>
      <xdr:row>39</xdr:row>
      <xdr:rowOff>28575</xdr:rowOff>
    </xdr:to>
    <xdr:sp macro="" textlink="">
      <xdr:nvSpPr>
        <xdr:cNvPr id="2071084" name="Text Box 260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352425</xdr:colOff>
      <xdr:row>38</xdr:row>
      <xdr:rowOff>0</xdr:rowOff>
    </xdr:from>
    <xdr:to>
      <xdr:col>9</xdr:col>
      <xdr:colOff>361950</xdr:colOff>
      <xdr:row>39</xdr:row>
      <xdr:rowOff>28575</xdr:rowOff>
    </xdr:to>
    <xdr:sp macro="" textlink="">
      <xdr:nvSpPr>
        <xdr:cNvPr id="2071085" name="Text Box 26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352425</xdr:colOff>
      <xdr:row>38</xdr:row>
      <xdr:rowOff>0</xdr:rowOff>
    </xdr:from>
    <xdr:to>
      <xdr:col>9</xdr:col>
      <xdr:colOff>361950</xdr:colOff>
      <xdr:row>39</xdr:row>
      <xdr:rowOff>28575</xdr:rowOff>
    </xdr:to>
    <xdr:sp macro="" textlink="">
      <xdr:nvSpPr>
        <xdr:cNvPr id="2071086" name="Text Box 97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352425</xdr:colOff>
      <xdr:row>38</xdr:row>
      <xdr:rowOff>0</xdr:rowOff>
    </xdr:from>
    <xdr:to>
      <xdr:col>9</xdr:col>
      <xdr:colOff>361950</xdr:colOff>
      <xdr:row>39</xdr:row>
      <xdr:rowOff>28575</xdr:rowOff>
    </xdr:to>
    <xdr:sp macro="" textlink="">
      <xdr:nvSpPr>
        <xdr:cNvPr id="2071087" name="Text Box 972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352425</xdr:colOff>
      <xdr:row>38</xdr:row>
      <xdr:rowOff>0</xdr:rowOff>
    </xdr:from>
    <xdr:to>
      <xdr:col>9</xdr:col>
      <xdr:colOff>361950</xdr:colOff>
      <xdr:row>39</xdr:row>
      <xdr:rowOff>28575</xdr:rowOff>
    </xdr:to>
    <xdr:sp macro="" textlink="">
      <xdr:nvSpPr>
        <xdr:cNvPr id="2071088" name="Text Box 973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352425</xdr:colOff>
      <xdr:row>38</xdr:row>
      <xdr:rowOff>0</xdr:rowOff>
    </xdr:from>
    <xdr:to>
      <xdr:col>9</xdr:col>
      <xdr:colOff>361950</xdr:colOff>
      <xdr:row>39</xdr:row>
      <xdr:rowOff>28575</xdr:rowOff>
    </xdr:to>
    <xdr:sp macro="" textlink="">
      <xdr:nvSpPr>
        <xdr:cNvPr id="2071089" name="Text Box 974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295275</xdr:colOff>
      <xdr:row>38</xdr:row>
      <xdr:rowOff>0</xdr:rowOff>
    </xdr:from>
    <xdr:to>
      <xdr:col>9</xdr:col>
      <xdr:colOff>400050</xdr:colOff>
      <xdr:row>39</xdr:row>
      <xdr:rowOff>28575</xdr:rowOff>
    </xdr:to>
    <xdr:sp macro="" textlink="">
      <xdr:nvSpPr>
        <xdr:cNvPr id="2071090" name="Text Box 168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295275</xdr:colOff>
      <xdr:row>38</xdr:row>
      <xdr:rowOff>0</xdr:rowOff>
    </xdr:from>
    <xdr:to>
      <xdr:col>9</xdr:col>
      <xdr:colOff>400050</xdr:colOff>
      <xdr:row>39</xdr:row>
      <xdr:rowOff>28575</xdr:rowOff>
    </xdr:to>
    <xdr:sp macro="" textlink="">
      <xdr:nvSpPr>
        <xdr:cNvPr id="2071091" name="Text Box 169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295275</xdr:colOff>
      <xdr:row>38</xdr:row>
      <xdr:rowOff>0</xdr:rowOff>
    </xdr:from>
    <xdr:to>
      <xdr:col>9</xdr:col>
      <xdr:colOff>400050</xdr:colOff>
      <xdr:row>39</xdr:row>
      <xdr:rowOff>28575</xdr:rowOff>
    </xdr:to>
    <xdr:sp macro="" textlink="">
      <xdr:nvSpPr>
        <xdr:cNvPr id="2071092" name="Text Box 170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295275</xdr:colOff>
      <xdr:row>38</xdr:row>
      <xdr:rowOff>0</xdr:rowOff>
    </xdr:from>
    <xdr:to>
      <xdr:col>9</xdr:col>
      <xdr:colOff>400050</xdr:colOff>
      <xdr:row>39</xdr:row>
      <xdr:rowOff>28575</xdr:rowOff>
    </xdr:to>
    <xdr:sp macro="" textlink="">
      <xdr:nvSpPr>
        <xdr:cNvPr id="2071093" name="Text Box 17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295275</xdr:colOff>
      <xdr:row>38</xdr:row>
      <xdr:rowOff>0</xdr:rowOff>
    </xdr:from>
    <xdr:to>
      <xdr:col>9</xdr:col>
      <xdr:colOff>400050</xdr:colOff>
      <xdr:row>39</xdr:row>
      <xdr:rowOff>28575</xdr:rowOff>
    </xdr:to>
    <xdr:sp macro="" textlink="">
      <xdr:nvSpPr>
        <xdr:cNvPr id="2071094" name="Text Box 172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295275</xdr:colOff>
      <xdr:row>38</xdr:row>
      <xdr:rowOff>0</xdr:rowOff>
    </xdr:from>
    <xdr:to>
      <xdr:col>9</xdr:col>
      <xdr:colOff>400050</xdr:colOff>
      <xdr:row>39</xdr:row>
      <xdr:rowOff>28575</xdr:rowOff>
    </xdr:to>
    <xdr:sp macro="" textlink="">
      <xdr:nvSpPr>
        <xdr:cNvPr id="2071095" name="Text Box 173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295275</xdr:colOff>
      <xdr:row>38</xdr:row>
      <xdr:rowOff>0</xdr:rowOff>
    </xdr:from>
    <xdr:to>
      <xdr:col>9</xdr:col>
      <xdr:colOff>400050</xdr:colOff>
      <xdr:row>39</xdr:row>
      <xdr:rowOff>28575</xdr:rowOff>
    </xdr:to>
    <xdr:sp macro="" textlink="">
      <xdr:nvSpPr>
        <xdr:cNvPr id="2071096" name="Text Box 174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295275</xdr:colOff>
      <xdr:row>38</xdr:row>
      <xdr:rowOff>0</xdr:rowOff>
    </xdr:from>
    <xdr:to>
      <xdr:col>9</xdr:col>
      <xdr:colOff>400050</xdr:colOff>
      <xdr:row>39</xdr:row>
      <xdr:rowOff>28575</xdr:rowOff>
    </xdr:to>
    <xdr:sp macro="" textlink="">
      <xdr:nvSpPr>
        <xdr:cNvPr id="2071097" name="Text Box 175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295275</xdr:colOff>
      <xdr:row>38</xdr:row>
      <xdr:rowOff>0</xdr:rowOff>
    </xdr:from>
    <xdr:to>
      <xdr:col>9</xdr:col>
      <xdr:colOff>400050</xdr:colOff>
      <xdr:row>39</xdr:row>
      <xdr:rowOff>28575</xdr:rowOff>
    </xdr:to>
    <xdr:sp macro="" textlink="">
      <xdr:nvSpPr>
        <xdr:cNvPr id="2071098" name="Text Box 198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295275</xdr:colOff>
      <xdr:row>38</xdr:row>
      <xdr:rowOff>0</xdr:rowOff>
    </xdr:from>
    <xdr:to>
      <xdr:col>9</xdr:col>
      <xdr:colOff>400050</xdr:colOff>
      <xdr:row>39</xdr:row>
      <xdr:rowOff>28575</xdr:rowOff>
    </xdr:to>
    <xdr:sp macro="" textlink="">
      <xdr:nvSpPr>
        <xdr:cNvPr id="2071099" name="Text Box 199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295275</xdr:colOff>
      <xdr:row>38</xdr:row>
      <xdr:rowOff>0</xdr:rowOff>
    </xdr:from>
    <xdr:to>
      <xdr:col>9</xdr:col>
      <xdr:colOff>400050</xdr:colOff>
      <xdr:row>39</xdr:row>
      <xdr:rowOff>28575</xdr:rowOff>
    </xdr:to>
    <xdr:sp macro="" textlink="">
      <xdr:nvSpPr>
        <xdr:cNvPr id="2071100" name="Text Box 200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295275</xdr:colOff>
      <xdr:row>38</xdr:row>
      <xdr:rowOff>0</xdr:rowOff>
    </xdr:from>
    <xdr:to>
      <xdr:col>9</xdr:col>
      <xdr:colOff>400050</xdr:colOff>
      <xdr:row>39</xdr:row>
      <xdr:rowOff>28575</xdr:rowOff>
    </xdr:to>
    <xdr:sp macro="" textlink="">
      <xdr:nvSpPr>
        <xdr:cNvPr id="2071101" name="Text Box 20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295275</xdr:colOff>
      <xdr:row>38</xdr:row>
      <xdr:rowOff>0</xdr:rowOff>
    </xdr:from>
    <xdr:to>
      <xdr:col>9</xdr:col>
      <xdr:colOff>400050</xdr:colOff>
      <xdr:row>39</xdr:row>
      <xdr:rowOff>28575</xdr:rowOff>
    </xdr:to>
    <xdr:sp macro="" textlink="">
      <xdr:nvSpPr>
        <xdr:cNvPr id="2071102" name="Text Box 202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295275</xdr:colOff>
      <xdr:row>38</xdr:row>
      <xdr:rowOff>0</xdr:rowOff>
    </xdr:from>
    <xdr:to>
      <xdr:col>9</xdr:col>
      <xdr:colOff>400050</xdr:colOff>
      <xdr:row>39</xdr:row>
      <xdr:rowOff>28575</xdr:rowOff>
    </xdr:to>
    <xdr:sp macro="" textlink="">
      <xdr:nvSpPr>
        <xdr:cNvPr id="2071103" name="Text Box 203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295275</xdr:colOff>
      <xdr:row>38</xdr:row>
      <xdr:rowOff>0</xdr:rowOff>
    </xdr:from>
    <xdr:to>
      <xdr:col>9</xdr:col>
      <xdr:colOff>400050</xdr:colOff>
      <xdr:row>39</xdr:row>
      <xdr:rowOff>28575</xdr:rowOff>
    </xdr:to>
    <xdr:sp macro="" textlink="">
      <xdr:nvSpPr>
        <xdr:cNvPr id="2071104" name="Text Box 204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295275</xdr:colOff>
      <xdr:row>38</xdr:row>
      <xdr:rowOff>0</xdr:rowOff>
    </xdr:from>
    <xdr:to>
      <xdr:col>9</xdr:col>
      <xdr:colOff>400050</xdr:colOff>
      <xdr:row>39</xdr:row>
      <xdr:rowOff>28575</xdr:rowOff>
    </xdr:to>
    <xdr:sp macro="" textlink="">
      <xdr:nvSpPr>
        <xdr:cNvPr id="2071105" name="Text Box 260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295275</xdr:colOff>
      <xdr:row>38</xdr:row>
      <xdr:rowOff>0</xdr:rowOff>
    </xdr:from>
    <xdr:to>
      <xdr:col>9</xdr:col>
      <xdr:colOff>400050</xdr:colOff>
      <xdr:row>39</xdr:row>
      <xdr:rowOff>28575</xdr:rowOff>
    </xdr:to>
    <xdr:sp macro="" textlink="">
      <xdr:nvSpPr>
        <xdr:cNvPr id="2071106" name="Text Box 26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295275</xdr:colOff>
      <xdr:row>38</xdr:row>
      <xdr:rowOff>0</xdr:rowOff>
    </xdr:from>
    <xdr:to>
      <xdr:col>9</xdr:col>
      <xdr:colOff>400050</xdr:colOff>
      <xdr:row>39</xdr:row>
      <xdr:rowOff>28575</xdr:rowOff>
    </xdr:to>
    <xdr:sp macro="" textlink="">
      <xdr:nvSpPr>
        <xdr:cNvPr id="2071107" name="Text Box 97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295275</xdr:colOff>
      <xdr:row>38</xdr:row>
      <xdr:rowOff>0</xdr:rowOff>
    </xdr:from>
    <xdr:to>
      <xdr:col>9</xdr:col>
      <xdr:colOff>400050</xdr:colOff>
      <xdr:row>39</xdr:row>
      <xdr:rowOff>28575</xdr:rowOff>
    </xdr:to>
    <xdr:sp macro="" textlink="">
      <xdr:nvSpPr>
        <xdr:cNvPr id="2071108" name="Text Box 972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295275</xdr:colOff>
      <xdr:row>38</xdr:row>
      <xdr:rowOff>0</xdr:rowOff>
    </xdr:from>
    <xdr:to>
      <xdr:col>9</xdr:col>
      <xdr:colOff>400050</xdr:colOff>
      <xdr:row>39</xdr:row>
      <xdr:rowOff>28575</xdr:rowOff>
    </xdr:to>
    <xdr:sp macro="" textlink="">
      <xdr:nvSpPr>
        <xdr:cNvPr id="2071109" name="Text Box 973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295275</xdr:colOff>
      <xdr:row>38</xdr:row>
      <xdr:rowOff>0</xdr:rowOff>
    </xdr:from>
    <xdr:to>
      <xdr:col>9</xdr:col>
      <xdr:colOff>400050</xdr:colOff>
      <xdr:row>39</xdr:row>
      <xdr:rowOff>28575</xdr:rowOff>
    </xdr:to>
    <xdr:sp macro="" textlink="">
      <xdr:nvSpPr>
        <xdr:cNvPr id="2071110" name="Text Box 974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352425</xdr:colOff>
      <xdr:row>38</xdr:row>
      <xdr:rowOff>0</xdr:rowOff>
    </xdr:from>
    <xdr:to>
      <xdr:col>10</xdr:col>
      <xdr:colOff>361950</xdr:colOff>
      <xdr:row>39</xdr:row>
      <xdr:rowOff>28575</xdr:rowOff>
    </xdr:to>
    <xdr:sp macro="" textlink="">
      <xdr:nvSpPr>
        <xdr:cNvPr id="2071111" name="Text Box 168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352425</xdr:colOff>
      <xdr:row>38</xdr:row>
      <xdr:rowOff>0</xdr:rowOff>
    </xdr:from>
    <xdr:to>
      <xdr:col>10</xdr:col>
      <xdr:colOff>361950</xdr:colOff>
      <xdr:row>39</xdr:row>
      <xdr:rowOff>28575</xdr:rowOff>
    </xdr:to>
    <xdr:sp macro="" textlink="">
      <xdr:nvSpPr>
        <xdr:cNvPr id="2071112" name="Text Box 169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352425</xdr:colOff>
      <xdr:row>38</xdr:row>
      <xdr:rowOff>0</xdr:rowOff>
    </xdr:from>
    <xdr:to>
      <xdr:col>10</xdr:col>
      <xdr:colOff>361950</xdr:colOff>
      <xdr:row>39</xdr:row>
      <xdr:rowOff>28575</xdr:rowOff>
    </xdr:to>
    <xdr:sp macro="" textlink="">
      <xdr:nvSpPr>
        <xdr:cNvPr id="2071113" name="Text Box 170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352425</xdr:colOff>
      <xdr:row>38</xdr:row>
      <xdr:rowOff>0</xdr:rowOff>
    </xdr:from>
    <xdr:to>
      <xdr:col>10</xdr:col>
      <xdr:colOff>361950</xdr:colOff>
      <xdr:row>39</xdr:row>
      <xdr:rowOff>28575</xdr:rowOff>
    </xdr:to>
    <xdr:sp macro="" textlink="">
      <xdr:nvSpPr>
        <xdr:cNvPr id="2071114" name="Text Box 17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352425</xdr:colOff>
      <xdr:row>38</xdr:row>
      <xdr:rowOff>0</xdr:rowOff>
    </xdr:from>
    <xdr:to>
      <xdr:col>10</xdr:col>
      <xdr:colOff>361950</xdr:colOff>
      <xdr:row>39</xdr:row>
      <xdr:rowOff>28575</xdr:rowOff>
    </xdr:to>
    <xdr:sp macro="" textlink="">
      <xdr:nvSpPr>
        <xdr:cNvPr id="2071115" name="Text Box 172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352425</xdr:colOff>
      <xdr:row>38</xdr:row>
      <xdr:rowOff>0</xdr:rowOff>
    </xdr:from>
    <xdr:to>
      <xdr:col>10</xdr:col>
      <xdr:colOff>361950</xdr:colOff>
      <xdr:row>39</xdr:row>
      <xdr:rowOff>28575</xdr:rowOff>
    </xdr:to>
    <xdr:sp macro="" textlink="">
      <xdr:nvSpPr>
        <xdr:cNvPr id="2071116" name="Text Box 173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352425</xdr:colOff>
      <xdr:row>38</xdr:row>
      <xdr:rowOff>0</xdr:rowOff>
    </xdr:from>
    <xdr:to>
      <xdr:col>10</xdr:col>
      <xdr:colOff>361950</xdr:colOff>
      <xdr:row>39</xdr:row>
      <xdr:rowOff>28575</xdr:rowOff>
    </xdr:to>
    <xdr:sp macro="" textlink="">
      <xdr:nvSpPr>
        <xdr:cNvPr id="2071117" name="Text Box 174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352425</xdr:colOff>
      <xdr:row>38</xdr:row>
      <xdr:rowOff>0</xdr:rowOff>
    </xdr:from>
    <xdr:to>
      <xdr:col>10</xdr:col>
      <xdr:colOff>361950</xdr:colOff>
      <xdr:row>39</xdr:row>
      <xdr:rowOff>28575</xdr:rowOff>
    </xdr:to>
    <xdr:sp macro="" textlink="">
      <xdr:nvSpPr>
        <xdr:cNvPr id="2071118" name="Text Box 175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352425</xdr:colOff>
      <xdr:row>38</xdr:row>
      <xdr:rowOff>0</xdr:rowOff>
    </xdr:from>
    <xdr:to>
      <xdr:col>10</xdr:col>
      <xdr:colOff>361950</xdr:colOff>
      <xdr:row>39</xdr:row>
      <xdr:rowOff>28575</xdr:rowOff>
    </xdr:to>
    <xdr:sp macro="" textlink="">
      <xdr:nvSpPr>
        <xdr:cNvPr id="2071119" name="Text Box 198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352425</xdr:colOff>
      <xdr:row>38</xdr:row>
      <xdr:rowOff>0</xdr:rowOff>
    </xdr:from>
    <xdr:to>
      <xdr:col>10</xdr:col>
      <xdr:colOff>361950</xdr:colOff>
      <xdr:row>39</xdr:row>
      <xdr:rowOff>28575</xdr:rowOff>
    </xdr:to>
    <xdr:sp macro="" textlink="">
      <xdr:nvSpPr>
        <xdr:cNvPr id="2071120" name="Text Box 199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352425</xdr:colOff>
      <xdr:row>38</xdr:row>
      <xdr:rowOff>0</xdr:rowOff>
    </xdr:from>
    <xdr:to>
      <xdr:col>10</xdr:col>
      <xdr:colOff>361950</xdr:colOff>
      <xdr:row>39</xdr:row>
      <xdr:rowOff>28575</xdr:rowOff>
    </xdr:to>
    <xdr:sp macro="" textlink="">
      <xdr:nvSpPr>
        <xdr:cNvPr id="2071121" name="Text Box 200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352425</xdr:colOff>
      <xdr:row>38</xdr:row>
      <xdr:rowOff>0</xdr:rowOff>
    </xdr:from>
    <xdr:to>
      <xdr:col>10</xdr:col>
      <xdr:colOff>361950</xdr:colOff>
      <xdr:row>39</xdr:row>
      <xdr:rowOff>28575</xdr:rowOff>
    </xdr:to>
    <xdr:sp macro="" textlink="">
      <xdr:nvSpPr>
        <xdr:cNvPr id="2071122" name="Text Box 20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352425</xdr:colOff>
      <xdr:row>38</xdr:row>
      <xdr:rowOff>0</xdr:rowOff>
    </xdr:from>
    <xdr:to>
      <xdr:col>10</xdr:col>
      <xdr:colOff>361950</xdr:colOff>
      <xdr:row>39</xdr:row>
      <xdr:rowOff>28575</xdr:rowOff>
    </xdr:to>
    <xdr:sp macro="" textlink="">
      <xdr:nvSpPr>
        <xdr:cNvPr id="2071123" name="Text Box 202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352425</xdr:colOff>
      <xdr:row>38</xdr:row>
      <xdr:rowOff>0</xdr:rowOff>
    </xdr:from>
    <xdr:to>
      <xdr:col>10</xdr:col>
      <xdr:colOff>361950</xdr:colOff>
      <xdr:row>39</xdr:row>
      <xdr:rowOff>28575</xdr:rowOff>
    </xdr:to>
    <xdr:sp macro="" textlink="">
      <xdr:nvSpPr>
        <xdr:cNvPr id="2071124" name="Text Box 203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352425</xdr:colOff>
      <xdr:row>38</xdr:row>
      <xdr:rowOff>0</xdr:rowOff>
    </xdr:from>
    <xdr:to>
      <xdr:col>10</xdr:col>
      <xdr:colOff>361950</xdr:colOff>
      <xdr:row>39</xdr:row>
      <xdr:rowOff>28575</xdr:rowOff>
    </xdr:to>
    <xdr:sp macro="" textlink="">
      <xdr:nvSpPr>
        <xdr:cNvPr id="2071125" name="Text Box 204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352425</xdr:colOff>
      <xdr:row>38</xdr:row>
      <xdr:rowOff>0</xdr:rowOff>
    </xdr:from>
    <xdr:to>
      <xdr:col>10</xdr:col>
      <xdr:colOff>361950</xdr:colOff>
      <xdr:row>39</xdr:row>
      <xdr:rowOff>28575</xdr:rowOff>
    </xdr:to>
    <xdr:sp macro="" textlink="">
      <xdr:nvSpPr>
        <xdr:cNvPr id="2071126" name="Text Box 260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352425</xdr:colOff>
      <xdr:row>38</xdr:row>
      <xdr:rowOff>0</xdr:rowOff>
    </xdr:from>
    <xdr:to>
      <xdr:col>10</xdr:col>
      <xdr:colOff>361950</xdr:colOff>
      <xdr:row>39</xdr:row>
      <xdr:rowOff>28575</xdr:rowOff>
    </xdr:to>
    <xdr:sp macro="" textlink="">
      <xdr:nvSpPr>
        <xdr:cNvPr id="2071127" name="Text Box 26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352425</xdr:colOff>
      <xdr:row>38</xdr:row>
      <xdr:rowOff>0</xdr:rowOff>
    </xdr:from>
    <xdr:to>
      <xdr:col>10</xdr:col>
      <xdr:colOff>361950</xdr:colOff>
      <xdr:row>39</xdr:row>
      <xdr:rowOff>28575</xdr:rowOff>
    </xdr:to>
    <xdr:sp macro="" textlink="">
      <xdr:nvSpPr>
        <xdr:cNvPr id="2071128" name="Text Box 97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352425</xdr:colOff>
      <xdr:row>38</xdr:row>
      <xdr:rowOff>0</xdr:rowOff>
    </xdr:from>
    <xdr:to>
      <xdr:col>10</xdr:col>
      <xdr:colOff>361950</xdr:colOff>
      <xdr:row>39</xdr:row>
      <xdr:rowOff>28575</xdr:rowOff>
    </xdr:to>
    <xdr:sp macro="" textlink="">
      <xdr:nvSpPr>
        <xdr:cNvPr id="2071129" name="Text Box 972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352425</xdr:colOff>
      <xdr:row>38</xdr:row>
      <xdr:rowOff>0</xdr:rowOff>
    </xdr:from>
    <xdr:to>
      <xdr:col>10</xdr:col>
      <xdr:colOff>361950</xdr:colOff>
      <xdr:row>39</xdr:row>
      <xdr:rowOff>28575</xdr:rowOff>
    </xdr:to>
    <xdr:sp macro="" textlink="">
      <xdr:nvSpPr>
        <xdr:cNvPr id="2071130" name="Text Box 973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352425</xdr:colOff>
      <xdr:row>38</xdr:row>
      <xdr:rowOff>0</xdr:rowOff>
    </xdr:from>
    <xdr:to>
      <xdr:col>10</xdr:col>
      <xdr:colOff>361950</xdr:colOff>
      <xdr:row>39</xdr:row>
      <xdr:rowOff>28575</xdr:rowOff>
    </xdr:to>
    <xdr:sp macro="" textlink="">
      <xdr:nvSpPr>
        <xdr:cNvPr id="2071131" name="Text Box 974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295275</xdr:colOff>
      <xdr:row>38</xdr:row>
      <xdr:rowOff>0</xdr:rowOff>
    </xdr:from>
    <xdr:to>
      <xdr:col>10</xdr:col>
      <xdr:colOff>400050</xdr:colOff>
      <xdr:row>39</xdr:row>
      <xdr:rowOff>28575</xdr:rowOff>
    </xdr:to>
    <xdr:sp macro="" textlink="">
      <xdr:nvSpPr>
        <xdr:cNvPr id="2071132" name="Text Box 168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295275</xdr:colOff>
      <xdr:row>38</xdr:row>
      <xdr:rowOff>0</xdr:rowOff>
    </xdr:from>
    <xdr:to>
      <xdr:col>10</xdr:col>
      <xdr:colOff>400050</xdr:colOff>
      <xdr:row>39</xdr:row>
      <xdr:rowOff>28575</xdr:rowOff>
    </xdr:to>
    <xdr:sp macro="" textlink="">
      <xdr:nvSpPr>
        <xdr:cNvPr id="2071133" name="Text Box 169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295275</xdr:colOff>
      <xdr:row>38</xdr:row>
      <xdr:rowOff>0</xdr:rowOff>
    </xdr:from>
    <xdr:to>
      <xdr:col>10</xdr:col>
      <xdr:colOff>400050</xdr:colOff>
      <xdr:row>39</xdr:row>
      <xdr:rowOff>28575</xdr:rowOff>
    </xdr:to>
    <xdr:sp macro="" textlink="">
      <xdr:nvSpPr>
        <xdr:cNvPr id="2071134" name="Text Box 170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295275</xdr:colOff>
      <xdr:row>38</xdr:row>
      <xdr:rowOff>0</xdr:rowOff>
    </xdr:from>
    <xdr:to>
      <xdr:col>10</xdr:col>
      <xdr:colOff>400050</xdr:colOff>
      <xdr:row>39</xdr:row>
      <xdr:rowOff>28575</xdr:rowOff>
    </xdr:to>
    <xdr:sp macro="" textlink="">
      <xdr:nvSpPr>
        <xdr:cNvPr id="2071135" name="Text Box 17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295275</xdr:colOff>
      <xdr:row>38</xdr:row>
      <xdr:rowOff>0</xdr:rowOff>
    </xdr:from>
    <xdr:to>
      <xdr:col>10</xdr:col>
      <xdr:colOff>400050</xdr:colOff>
      <xdr:row>39</xdr:row>
      <xdr:rowOff>28575</xdr:rowOff>
    </xdr:to>
    <xdr:sp macro="" textlink="">
      <xdr:nvSpPr>
        <xdr:cNvPr id="2071136" name="Text Box 172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295275</xdr:colOff>
      <xdr:row>38</xdr:row>
      <xdr:rowOff>0</xdr:rowOff>
    </xdr:from>
    <xdr:to>
      <xdr:col>10</xdr:col>
      <xdr:colOff>400050</xdr:colOff>
      <xdr:row>39</xdr:row>
      <xdr:rowOff>28575</xdr:rowOff>
    </xdr:to>
    <xdr:sp macro="" textlink="">
      <xdr:nvSpPr>
        <xdr:cNvPr id="2071137" name="Text Box 173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295275</xdr:colOff>
      <xdr:row>38</xdr:row>
      <xdr:rowOff>0</xdr:rowOff>
    </xdr:from>
    <xdr:to>
      <xdr:col>10</xdr:col>
      <xdr:colOff>400050</xdr:colOff>
      <xdr:row>39</xdr:row>
      <xdr:rowOff>28575</xdr:rowOff>
    </xdr:to>
    <xdr:sp macro="" textlink="">
      <xdr:nvSpPr>
        <xdr:cNvPr id="2071138" name="Text Box 174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295275</xdr:colOff>
      <xdr:row>38</xdr:row>
      <xdr:rowOff>0</xdr:rowOff>
    </xdr:from>
    <xdr:to>
      <xdr:col>10</xdr:col>
      <xdr:colOff>400050</xdr:colOff>
      <xdr:row>39</xdr:row>
      <xdr:rowOff>28575</xdr:rowOff>
    </xdr:to>
    <xdr:sp macro="" textlink="">
      <xdr:nvSpPr>
        <xdr:cNvPr id="2071139" name="Text Box 175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295275</xdr:colOff>
      <xdr:row>38</xdr:row>
      <xdr:rowOff>0</xdr:rowOff>
    </xdr:from>
    <xdr:to>
      <xdr:col>10</xdr:col>
      <xdr:colOff>400050</xdr:colOff>
      <xdr:row>39</xdr:row>
      <xdr:rowOff>28575</xdr:rowOff>
    </xdr:to>
    <xdr:sp macro="" textlink="">
      <xdr:nvSpPr>
        <xdr:cNvPr id="2071140" name="Text Box 198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295275</xdr:colOff>
      <xdr:row>38</xdr:row>
      <xdr:rowOff>0</xdr:rowOff>
    </xdr:from>
    <xdr:to>
      <xdr:col>10</xdr:col>
      <xdr:colOff>400050</xdr:colOff>
      <xdr:row>39</xdr:row>
      <xdr:rowOff>28575</xdr:rowOff>
    </xdr:to>
    <xdr:sp macro="" textlink="">
      <xdr:nvSpPr>
        <xdr:cNvPr id="2071141" name="Text Box 199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295275</xdr:colOff>
      <xdr:row>38</xdr:row>
      <xdr:rowOff>0</xdr:rowOff>
    </xdr:from>
    <xdr:to>
      <xdr:col>10</xdr:col>
      <xdr:colOff>400050</xdr:colOff>
      <xdr:row>39</xdr:row>
      <xdr:rowOff>28575</xdr:rowOff>
    </xdr:to>
    <xdr:sp macro="" textlink="">
      <xdr:nvSpPr>
        <xdr:cNvPr id="2071142" name="Text Box 200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295275</xdr:colOff>
      <xdr:row>38</xdr:row>
      <xdr:rowOff>0</xdr:rowOff>
    </xdr:from>
    <xdr:to>
      <xdr:col>10</xdr:col>
      <xdr:colOff>400050</xdr:colOff>
      <xdr:row>39</xdr:row>
      <xdr:rowOff>28575</xdr:rowOff>
    </xdr:to>
    <xdr:sp macro="" textlink="">
      <xdr:nvSpPr>
        <xdr:cNvPr id="2071143" name="Text Box 20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295275</xdr:colOff>
      <xdr:row>38</xdr:row>
      <xdr:rowOff>0</xdr:rowOff>
    </xdr:from>
    <xdr:to>
      <xdr:col>10</xdr:col>
      <xdr:colOff>400050</xdr:colOff>
      <xdr:row>39</xdr:row>
      <xdr:rowOff>28575</xdr:rowOff>
    </xdr:to>
    <xdr:sp macro="" textlink="">
      <xdr:nvSpPr>
        <xdr:cNvPr id="2071144" name="Text Box 202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295275</xdr:colOff>
      <xdr:row>38</xdr:row>
      <xdr:rowOff>0</xdr:rowOff>
    </xdr:from>
    <xdr:to>
      <xdr:col>10</xdr:col>
      <xdr:colOff>400050</xdr:colOff>
      <xdr:row>39</xdr:row>
      <xdr:rowOff>28575</xdr:rowOff>
    </xdr:to>
    <xdr:sp macro="" textlink="">
      <xdr:nvSpPr>
        <xdr:cNvPr id="2071145" name="Text Box 203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295275</xdr:colOff>
      <xdr:row>38</xdr:row>
      <xdr:rowOff>0</xdr:rowOff>
    </xdr:from>
    <xdr:to>
      <xdr:col>10</xdr:col>
      <xdr:colOff>400050</xdr:colOff>
      <xdr:row>39</xdr:row>
      <xdr:rowOff>28575</xdr:rowOff>
    </xdr:to>
    <xdr:sp macro="" textlink="">
      <xdr:nvSpPr>
        <xdr:cNvPr id="2071146" name="Text Box 204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295275</xdr:colOff>
      <xdr:row>38</xdr:row>
      <xdr:rowOff>0</xdr:rowOff>
    </xdr:from>
    <xdr:to>
      <xdr:col>10</xdr:col>
      <xdr:colOff>400050</xdr:colOff>
      <xdr:row>39</xdr:row>
      <xdr:rowOff>28575</xdr:rowOff>
    </xdr:to>
    <xdr:sp macro="" textlink="">
      <xdr:nvSpPr>
        <xdr:cNvPr id="2071147" name="Text Box 260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295275</xdr:colOff>
      <xdr:row>38</xdr:row>
      <xdr:rowOff>0</xdr:rowOff>
    </xdr:from>
    <xdr:to>
      <xdr:col>10</xdr:col>
      <xdr:colOff>400050</xdr:colOff>
      <xdr:row>39</xdr:row>
      <xdr:rowOff>28575</xdr:rowOff>
    </xdr:to>
    <xdr:sp macro="" textlink="">
      <xdr:nvSpPr>
        <xdr:cNvPr id="2071148" name="Text Box 26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295275</xdr:colOff>
      <xdr:row>38</xdr:row>
      <xdr:rowOff>0</xdr:rowOff>
    </xdr:from>
    <xdr:to>
      <xdr:col>10</xdr:col>
      <xdr:colOff>400050</xdr:colOff>
      <xdr:row>39</xdr:row>
      <xdr:rowOff>28575</xdr:rowOff>
    </xdr:to>
    <xdr:sp macro="" textlink="">
      <xdr:nvSpPr>
        <xdr:cNvPr id="2071149" name="Text Box 97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295275</xdr:colOff>
      <xdr:row>38</xdr:row>
      <xdr:rowOff>0</xdr:rowOff>
    </xdr:from>
    <xdr:to>
      <xdr:col>10</xdr:col>
      <xdr:colOff>400050</xdr:colOff>
      <xdr:row>39</xdr:row>
      <xdr:rowOff>28575</xdr:rowOff>
    </xdr:to>
    <xdr:sp macro="" textlink="">
      <xdr:nvSpPr>
        <xdr:cNvPr id="2071150" name="Text Box 972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295275</xdr:colOff>
      <xdr:row>38</xdr:row>
      <xdr:rowOff>0</xdr:rowOff>
    </xdr:from>
    <xdr:to>
      <xdr:col>10</xdr:col>
      <xdr:colOff>400050</xdr:colOff>
      <xdr:row>39</xdr:row>
      <xdr:rowOff>28575</xdr:rowOff>
    </xdr:to>
    <xdr:sp macro="" textlink="">
      <xdr:nvSpPr>
        <xdr:cNvPr id="2071151" name="Text Box 973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295275</xdr:colOff>
      <xdr:row>38</xdr:row>
      <xdr:rowOff>0</xdr:rowOff>
    </xdr:from>
    <xdr:to>
      <xdr:col>10</xdr:col>
      <xdr:colOff>400050</xdr:colOff>
      <xdr:row>39</xdr:row>
      <xdr:rowOff>28575</xdr:rowOff>
    </xdr:to>
    <xdr:sp macro="" textlink="">
      <xdr:nvSpPr>
        <xdr:cNvPr id="2071152" name="Text Box 974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352425</xdr:colOff>
      <xdr:row>38</xdr:row>
      <xdr:rowOff>0</xdr:rowOff>
    </xdr:from>
    <xdr:to>
      <xdr:col>11</xdr:col>
      <xdr:colOff>361950</xdr:colOff>
      <xdr:row>39</xdr:row>
      <xdr:rowOff>28575</xdr:rowOff>
    </xdr:to>
    <xdr:sp macro="" textlink="">
      <xdr:nvSpPr>
        <xdr:cNvPr id="2071153" name="Text Box 168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352425</xdr:colOff>
      <xdr:row>38</xdr:row>
      <xdr:rowOff>0</xdr:rowOff>
    </xdr:from>
    <xdr:to>
      <xdr:col>11</xdr:col>
      <xdr:colOff>361950</xdr:colOff>
      <xdr:row>39</xdr:row>
      <xdr:rowOff>28575</xdr:rowOff>
    </xdr:to>
    <xdr:sp macro="" textlink="">
      <xdr:nvSpPr>
        <xdr:cNvPr id="2071154" name="Text Box 169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352425</xdr:colOff>
      <xdr:row>38</xdr:row>
      <xdr:rowOff>0</xdr:rowOff>
    </xdr:from>
    <xdr:to>
      <xdr:col>11</xdr:col>
      <xdr:colOff>361950</xdr:colOff>
      <xdr:row>39</xdr:row>
      <xdr:rowOff>28575</xdr:rowOff>
    </xdr:to>
    <xdr:sp macro="" textlink="">
      <xdr:nvSpPr>
        <xdr:cNvPr id="2071155" name="Text Box 170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352425</xdr:colOff>
      <xdr:row>38</xdr:row>
      <xdr:rowOff>0</xdr:rowOff>
    </xdr:from>
    <xdr:to>
      <xdr:col>11</xdr:col>
      <xdr:colOff>361950</xdr:colOff>
      <xdr:row>39</xdr:row>
      <xdr:rowOff>28575</xdr:rowOff>
    </xdr:to>
    <xdr:sp macro="" textlink="">
      <xdr:nvSpPr>
        <xdr:cNvPr id="2071156" name="Text Box 17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352425</xdr:colOff>
      <xdr:row>38</xdr:row>
      <xdr:rowOff>0</xdr:rowOff>
    </xdr:from>
    <xdr:to>
      <xdr:col>11</xdr:col>
      <xdr:colOff>361950</xdr:colOff>
      <xdr:row>39</xdr:row>
      <xdr:rowOff>28575</xdr:rowOff>
    </xdr:to>
    <xdr:sp macro="" textlink="">
      <xdr:nvSpPr>
        <xdr:cNvPr id="2071157" name="Text Box 172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352425</xdr:colOff>
      <xdr:row>38</xdr:row>
      <xdr:rowOff>0</xdr:rowOff>
    </xdr:from>
    <xdr:to>
      <xdr:col>11</xdr:col>
      <xdr:colOff>361950</xdr:colOff>
      <xdr:row>39</xdr:row>
      <xdr:rowOff>28575</xdr:rowOff>
    </xdr:to>
    <xdr:sp macro="" textlink="">
      <xdr:nvSpPr>
        <xdr:cNvPr id="2071158" name="Text Box 173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352425</xdr:colOff>
      <xdr:row>38</xdr:row>
      <xdr:rowOff>0</xdr:rowOff>
    </xdr:from>
    <xdr:to>
      <xdr:col>11</xdr:col>
      <xdr:colOff>361950</xdr:colOff>
      <xdr:row>39</xdr:row>
      <xdr:rowOff>28575</xdr:rowOff>
    </xdr:to>
    <xdr:sp macro="" textlink="">
      <xdr:nvSpPr>
        <xdr:cNvPr id="2071159" name="Text Box 174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352425</xdr:colOff>
      <xdr:row>38</xdr:row>
      <xdr:rowOff>0</xdr:rowOff>
    </xdr:from>
    <xdr:to>
      <xdr:col>11</xdr:col>
      <xdr:colOff>361950</xdr:colOff>
      <xdr:row>39</xdr:row>
      <xdr:rowOff>28575</xdr:rowOff>
    </xdr:to>
    <xdr:sp macro="" textlink="">
      <xdr:nvSpPr>
        <xdr:cNvPr id="2071160" name="Text Box 175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352425</xdr:colOff>
      <xdr:row>38</xdr:row>
      <xdr:rowOff>0</xdr:rowOff>
    </xdr:from>
    <xdr:to>
      <xdr:col>11</xdr:col>
      <xdr:colOff>361950</xdr:colOff>
      <xdr:row>39</xdr:row>
      <xdr:rowOff>28575</xdr:rowOff>
    </xdr:to>
    <xdr:sp macro="" textlink="">
      <xdr:nvSpPr>
        <xdr:cNvPr id="2071161" name="Text Box 198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352425</xdr:colOff>
      <xdr:row>38</xdr:row>
      <xdr:rowOff>0</xdr:rowOff>
    </xdr:from>
    <xdr:to>
      <xdr:col>11</xdr:col>
      <xdr:colOff>361950</xdr:colOff>
      <xdr:row>39</xdr:row>
      <xdr:rowOff>28575</xdr:rowOff>
    </xdr:to>
    <xdr:sp macro="" textlink="">
      <xdr:nvSpPr>
        <xdr:cNvPr id="2071162" name="Text Box 199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352425</xdr:colOff>
      <xdr:row>38</xdr:row>
      <xdr:rowOff>0</xdr:rowOff>
    </xdr:from>
    <xdr:to>
      <xdr:col>11</xdr:col>
      <xdr:colOff>361950</xdr:colOff>
      <xdr:row>39</xdr:row>
      <xdr:rowOff>28575</xdr:rowOff>
    </xdr:to>
    <xdr:sp macro="" textlink="">
      <xdr:nvSpPr>
        <xdr:cNvPr id="2071163" name="Text Box 200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352425</xdr:colOff>
      <xdr:row>38</xdr:row>
      <xdr:rowOff>0</xdr:rowOff>
    </xdr:from>
    <xdr:to>
      <xdr:col>11</xdr:col>
      <xdr:colOff>361950</xdr:colOff>
      <xdr:row>39</xdr:row>
      <xdr:rowOff>28575</xdr:rowOff>
    </xdr:to>
    <xdr:sp macro="" textlink="">
      <xdr:nvSpPr>
        <xdr:cNvPr id="2071164" name="Text Box 20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352425</xdr:colOff>
      <xdr:row>38</xdr:row>
      <xdr:rowOff>0</xdr:rowOff>
    </xdr:from>
    <xdr:to>
      <xdr:col>11</xdr:col>
      <xdr:colOff>361950</xdr:colOff>
      <xdr:row>39</xdr:row>
      <xdr:rowOff>28575</xdr:rowOff>
    </xdr:to>
    <xdr:sp macro="" textlink="">
      <xdr:nvSpPr>
        <xdr:cNvPr id="2071165" name="Text Box 202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352425</xdr:colOff>
      <xdr:row>38</xdr:row>
      <xdr:rowOff>0</xdr:rowOff>
    </xdr:from>
    <xdr:to>
      <xdr:col>11</xdr:col>
      <xdr:colOff>361950</xdr:colOff>
      <xdr:row>39</xdr:row>
      <xdr:rowOff>28575</xdr:rowOff>
    </xdr:to>
    <xdr:sp macro="" textlink="">
      <xdr:nvSpPr>
        <xdr:cNvPr id="2071166" name="Text Box 203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352425</xdr:colOff>
      <xdr:row>38</xdr:row>
      <xdr:rowOff>0</xdr:rowOff>
    </xdr:from>
    <xdr:to>
      <xdr:col>11</xdr:col>
      <xdr:colOff>361950</xdr:colOff>
      <xdr:row>39</xdr:row>
      <xdr:rowOff>28575</xdr:rowOff>
    </xdr:to>
    <xdr:sp macro="" textlink="">
      <xdr:nvSpPr>
        <xdr:cNvPr id="2071167" name="Text Box 204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352425</xdr:colOff>
      <xdr:row>38</xdr:row>
      <xdr:rowOff>0</xdr:rowOff>
    </xdr:from>
    <xdr:to>
      <xdr:col>11</xdr:col>
      <xdr:colOff>361950</xdr:colOff>
      <xdr:row>39</xdr:row>
      <xdr:rowOff>28575</xdr:rowOff>
    </xdr:to>
    <xdr:sp macro="" textlink="">
      <xdr:nvSpPr>
        <xdr:cNvPr id="2071168" name="Text Box 260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352425</xdr:colOff>
      <xdr:row>38</xdr:row>
      <xdr:rowOff>0</xdr:rowOff>
    </xdr:from>
    <xdr:to>
      <xdr:col>11</xdr:col>
      <xdr:colOff>361950</xdr:colOff>
      <xdr:row>39</xdr:row>
      <xdr:rowOff>28575</xdr:rowOff>
    </xdr:to>
    <xdr:sp macro="" textlink="">
      <xdr:nvSpPr>
        <xdr:cNvPr id="2071169" name="Text Box 26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352425</xdr:colOff>
      <xdr:row>38</xdr:row>
      <xdr:rowOff>0</xdr:rowOff>
    </xdr:from>
    <xdr:to>
      <xdr:col>11</xdr:col>
      <xdr:colOff>361950</xdr:colOff>
      <xdr:row>39</xdr:row>
      <xdr:rowOff>28575</xdr:rowOff>
    </xdr:to>
    <xdr:sp macro="" textlink="">
      <xdr:nvSpPr>
        <xdr:cNvPr id="2071170" name="Text Box 97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352425</xdr:colOff>
      <xdr:row>38</xdr:row>
      <xdr:rowOff>0</xdr:rowOff>
    </xdr:from>
    <xdr:to>
      <xdr:col>11</xdr:col>
      <xdr:colOff>361950</xdr:colOff>
      <xdr:row>39</xdr:row>
      <xdr:rowOff>28575</xdr:rowOff>
    </xdr:to>
    <xdr:sp macro="" textlink="">
      <xdr:nvSpPr>
        <xdr:cNvPr id="2071171" name="Text Box 972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352425</xdr:colOff>
      <xdr:row>38</xdr:row>
      <xdr:rowOff>0</xdr:rowOff>
    </xdr:from>
    <xdr:to>
      <xdr:col>11</xdr:col>
      <xdr:colOff>361950</xdr:colOff>
      <xdr:row>39</xdr:row>
      <xdr:rowOff>28575</xdr:rowOff>
    </xdr:to>
    <xdr:sp macro="" textlink="">
      <xdr:nvSpPr>
        <xdr:cNvPr id="2071172" name="Text Box 973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352425</xdr:colOff>
      <xdr:row>38</xdr:row>
      <xdr:rowOff>0</xdr:rowOff>
    </xdr:from>
    <xdr:to>
      <xdr:col>11</xdr:col>
      <xdr:colOff>361950</xdr:colOff>
      <xdr:row>39</xdr:row>
      <xdr:rowOff>28575</xdr:rowOff>
    </xdr:to>
    <xdr:sp macro="" textlink="">
      <xdr:nvSpPr>
        <xdr:cNvPr id="2071173" name="Text Box 974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295275</xdr:colOff>
      <xdr:row>38</xdr:row>
      <xdr:rowOff>0</xdr:rowOff>
    </xdr:from>
    <xdr:to>
      <xdr:col>11</xdr:col>
      <xdr:colOff>400050</xdr:colOff>
      <xdr:row>39</xdr:row>
      <xdr:rowOff>28575</xdr:rowOff>
    </xdr:to>
    <xdr:sp macro="" textlink="">
      <xdr:nvSpPr>
        <xdr:cNvPr id="2071174" name="Text Box 168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295275</xdr:colOff>
      <xdr:row>38</xdr:row>
      <xdr:rowOff>0</xdr:rowOff>
    </xdr:from>
    <xdr:to>
      <xdr:col>11</xdr:col>
      <xdr:colOff>400050</xdr:colOff>
      <xdr:row>39</xdr:row>
      <xdr:rowOff>28575</xdr:rowOff>
    </xdr:to>
    <xdr:sp macro="" textlink="">
      <xdr:nvSpPr>
        <xdr:cNvPr id="2071175" name="Text Box 169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295275</xdr:colOff>
      <xdr:row>38</xdr:row>
      <xdr:rowOff>0</xdr:rowOff>
    </xdr:from>
    <xdr:to>
      <xdr:col>11</xdr:col>
      <xdr:colOff>400050</xdr:colOff>
      <xdr:row>39</xdr:row>
      <xdr:rowOff>28575</xdr:rowOff>
    </xdr:to>
    <xdr:sp macro="" textlink="">
      <xdr:nvSpPr>
        <xdr:cNvPr id="2071176" name="Text Box 170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295275</xdr:colOff>
      <xdr:row>38</xdr:row>
      <xdr:rowOff>0</xdr:rowOff>
    </xdr:from>
    <xdr:to>
      <xdr:col>11</xdr:col>
      <xdr:colOff>400050</xdr:colOff>
      <xdr:row>39</xdr:row>
      <xdr:rowOff>28575</xdr:rowOff>
    </xdr:to>
    <xdr:sp macro="" textlink="">
      <xdr:nvSpPr>
        <xdr:cNvPr id="2071177" name="Text Box 17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295275</xdr:colOff>
      <xdr:row>38</xdr:row>
      <xdr:rowOff>0</xdr:rowOff>
    </xdr:from>
    <xdr:to>
      <xdr:col>11</xdr:col>
      <xdr:colOff>400050</xdr:colOff>
      <xdr:row>39</xdr:row>
      <xdr:rowOff>28575</xdr:rowOff>
    </xdr:to>
    <xdr:sp macro="" textlink="">
      <xdr:nvSpPr>
        <xdr:cNvPr id="2071178" name="Text Box 172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295275</xdr:colOff>
      <xdr:row>38</xdr:row>
      <xdr:rowOff>0</xdr:rowOff>
    </xdr:from>
    <xdr:to>
      <xdr:col>11</xdr:col>
      <xdr:colOff>400050</xdr:colOff>
      <xdr:row>39</xdr:row>
      <xdr:rowOff>28575</xdr:rowOff>
    </xdr:to>
    <xdr:sp macro="" textlink="">
      <xdr:nvSpPr>
        <xdr:cNvPr id="2071179" name="Text Box 173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295275</xdr:colOff>
      <xdr:row>38</xdr:row>
      <xdr:rowOff>0</xdr:rowOff>
    </xdr:from>
    <xdr:to>
      <xdr:col>11</xdr:col>
      <xdr:colOff>400050</xdr:colOff>
      <xdr:row>39</xdr:row>
      <xdr:rowOff>28575</xdr:rowOff>
    </xdr:to>
    <xdr:sp macro="" textlink="">
      <xdr:nvSpPr>
        <xdr:cNvPr id="2071180" name="Text Box 174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295275</xdr:colOff>
      <xdr:row>38</xdr:row>
      <xdr:rowOff>0</xdr:rowOff>
    </xdr:from>
    <xdr:to>
      <xdr:col>11</xdr:col>
      <xdr:colOff>400050</xdr:colOff>
      <xdr:row>39</xdr:row>
      <xdr:rowOff>28575</xdr:rowOff>
    </xdr:to>
    <xdr:sp macro="" textlink="">
      <xdr:nvSpPr>
        <xdr:cNvPr id="2071181" name="Text Box 175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295275</xdr:colOff>
      <xdr:row>38</xdr:row>
      <xdr:rowOff>0</xdr:rowOff>
    </xdr:from>
    <xdr:to>
      <xdr:col>11</xdr:col>
      <xdr:colOff>400050</xdr:colOff>
      <xdr:row>39</xdr:row>
      <xdr:rowOff>28575</xdr:rowOff>
    </xdr:to>
    <xdr:sp macro="" textlink="">
      <xdr:nvSpPr>
        <xdr:cNvPr id="2071182" name="Text Box 198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295275</xdr:colOff>
      <xdr:row>38</xdr:row>
      <xdr:rowOff>0</xdr:rowOff>
    </xdr:from>
    <xdr:to>
      <xdr:col>11</xdr:col>
      <xdr:colOff>400050</xdr:colOff>
      <xdr:row>39</xdr:row>
      <xdr:rowOff>28575</xdr:rowOff>
    </xdr:to>
    <xdr:sp macro="" textlink="">
      <xdr:nvSpPr>
        <xdr:cNvPr id="2071183" name="Text Box 199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295275</xdr:colOff>
      <xdr:row>38</xdr:row>
      <xdr:rowOff>0</xdr:rowOff>
    </xdr:from>
    <xdr:to>
      <xdr:col>11</xdr:col>
      <xdr:colOff>400050</xdr:colOff>
      <xdr:row>39</xdr:row>
      <xdr:rowOff>28575</xdr:rowOff>
    </xdr:to>
    <xdr:sp macro="" textlink="">
      <xdr:nvSpPr>
        <xdr:cNvPr id="2071184" name="Text Box 200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295275</xdr:colOff>
      <xdr:row>38</xdr:row>
      <xdr:rowOff>0</xdr:rowOff>
    </xdr:from>
    <xdr:to>
      <xdr:col>11</xdr:col>
      <xdr:colOff>400050</xdr:colOff>
      <xdr:row>39</xdr:row>
      <xdr:rowOff>28575</xdr:rowOff>
    </xdr:to>
    <xdr:sp macro="" textlink="">
      <xdr:nvSpPr>
        <xdr:cNvPr id="2071185" name="Text Box 20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295275</xdr:colOff>
      <xdr:row>38</xdr:row>
      <xdr:rowOff>0</xdr:rowOff>
    </xdr:from>
    <xdr:to>
      <xdr:col>11</xdr:col>
      <xdr:colOff>400050</xdr:colOff>
      <xdr:row>39</xdr:row>
      <xdr:rowOff>28575</xdr:rowOff>
    </xdr:to>
    <xdr:sp macro="" textlink="">
      <xdr:nvSpPr>
        <xdr:cNvPr id="2071186" name="Text Box 202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295275</xdr:colOff>
      <xdr:row>38</xdr:row>
      <xdr:rowOff>0</xdr:rowOff>
    </xdr:from>
    <xdr:to>
      <xdr:col>11</xdr:col>
      <xdr:colOff>400050</xdr:colOff>
      <xdr:row>39</xdr:row>
      <xdr:rowOff>28575</xdr:rowOff>
    </xdr:to>
    <xdr:sp macro="" textlink="">
      <xdr:nvSpPr>
        <xdr:cNvPr id="2071187" name="Text Box 203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295275</xdr:colOff>
      <xdr:row>38</xdr:row>
      <xdr:rowOff>0</xdr:rowOff>
    </xdr:from>
    <xdr:to>
      <xdr:col>11</xdr:col>
      <xdr:colOff>400050</xdr:colOff>
      <xdr:row>39</xdr:row>
      <xdr:rowOff>28575</xdr:rowOff>
    </xdr:to>
    <xdr:sp macro="" textlink="">
      <xdr:nvSpPr>
        <xdr:cNvPr id="2071188" name="Text Box 204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295275</xdr:colOff>
      <xdr:row>38</xdr:row>
      <xdr:rowOff>0</xdr:rowOff>
    </xdr:from>
    <xdr:to>
      <xdr:col>11</xdr:col>
      <xdr:colOff>400050</xdr:colOff>
      <xdr:row>39</xdr:row>
      <xdr:rowOff>28575</xdr:rowOff>
    </xdr:to>
    <xdr:sp macro="" textlink="">
      <xdr:nvSpPr>
        <xdr:cNvPr id="2071189" name="Text Box 260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295275</xdr:colOff>
      <xdr:row>38</xdr:row>
      <xdr:rowOff>0</xdr:rowOff>
    </xdr:from>
    <xdr:to>
      <xdr:col>11</xdr:col>
      <xdr:colOff>400050</xdr:colOff>
      <xdr:row>39</xdr:row>
      <xdr:rowOff>28575</xdr:rowOff>
    </xdr:to>
    <xdr:sp macro="" textlink="">
      <xdr:nvSpPr>
        <xdr:cNvPr id="2071190" name="Text Box 26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295275</xdr:colOff>
      <xdr:row>38</xdr:row>
      <xdr:rowOff>0</xdr:rowOff>
    </xdr:from>
    <xdr:to>
      <xdr:col>11</xdr:col>
      <xdr:colOff>400050</xdr:colOff>
      <xdr:row>39</xdr:row>
      <xdr:rowOff>28575</xdr:rowOff>
    </xdr:to>
    <xdr:sp macro="" textlink="">
      <xdr:nvSpPr>
        <xdr:cNvPr id="2071191" name="Text Box 97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295275</xdr:colOff>
      <xdr:row>38</xdr:row>
      <xdr:rowOff>0</xdr:rowOff>
    </xdr:from>
    <xdr:to>
      <xdr:col>11</xdr:col>
      <xdr:colOff>400050</xdr:colOff>
      <xdr:row>39</xdr:row>
      <xdr:rowOff>28575</xdr:rowOff>
    </xdr:to>
    <xdr:sp macro="" textlink="">
      <xdr:nvSpPr>
        <xdr:cNvPr id="2071192" name="Text Box 972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295275</xdr:colOff>
      <xdr:row>38</xdr:row>
      <xdr:rowOff>0</xdr:rowOff>
    </xdr:from>
    <xdr:to>
      <xdr:col>11</xdr:col>
      <xdr:colOff>400050</xdr:colOff>
      <xdr:row>39</xdr:row>
      <xdr:rowOff>28575</xdr:rowOff>
    </xdr:to>
    <xdr:sp macro="" textlink="">
      <xdr:nvSpPr>
        <xdr:cNvPr id="2071193" name="Text Box 973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295275</xdr:colOff>
      <xdr:row>38</xdr:row>
      <xdr:rowOff>0</xdr:rowOff>
    </xdr:from>
    <xdr:to>
      <xdr:col>11</xdr:col>
      <xdr:colOff>400050</xdr:colOff>
      <xdr:row>39</xdr:row>
      <xdr:rowOff>28575</xdr:rowOff>
    </xdr:to>
    <xdr:sp macro="" textlink="">
      <xdr:nvSpPr>
        <xdr:cNvPr id="2071194" name="Text Box 974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352425</xdr:colOff>
      <xdr:row>38</xdr:row>
      <xdr:rowOff>0</xdr:rowOff>
    </xdr:from>
    <xdr:to>
      <xdr:col>12</xdr:col>
      <xdr:colOff>361950</xdr:colOff>
      <xdr:row>39</xdr:row>
      <xdr:rowOff>28575</xdr:rowOff>
    </xdr:to>
    <xdr:sp macro="" textlink="">
      <xdr:nvSpPr>
        <xdr:cNvPr id="2071195" name="Text Box 168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352425</xdr:colOff>
      <xdr:row>38</xdr:row>
      <xdr:rowOff>0</xdr:rowOff>
    </xdr:from>
    <xdr:to>
      <xdr:col>12</xdr:col>
      <xdr:colOff>361950</xdr:colOff>
      <xdr:row>39</xdr:row>
      <xdr:rowOff>28575</xdr:rowOff>
    </xdr:to>
    <xdr:sp macro="" textlink="">
      <xdr:nvSpPr>
        <xdr:cNvPr id="2071196" name="Text Box 169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352425</xdr:colOff>
      <xdr:row>38</xdr:row>
      <xdr:rowOff>0</xdr:rowOff>
    </xdr:from>
    <xdr:to>
      <xdr:col>12</xdr:col>
      <xdr:colOff>361950</xdr:colOff>
      <xdr:row>39</xdr:row>
      <xdr:rowOff>28575</xdr:rowOff>
    </xdr:to>
    <xdr:sp macro="" textlink="">
      <xdr:nvSpPr>
        <xdr:cNvPr id="2071197" name="Text Box 170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352425</xdr:colOff>
      <xdr:row>38</xdr:row>
      <xdr:rowOff>0</xdr:rowOff>
    </xdr:from>
    <xdr:to>
      <xdr:col>12</xdr:col>
      <xdr:colOff>361950</xdr:colOff>
      <xdr:row>39</xdr:row>
      <xdr:rowOff>28575</xdr:rowOff>
    </xdr:to>
    <xdr:sp macro="" textlink="">
      <xdr:nvSpPr>
        <xdr:cNvPr id="2071198" name="Text Box 17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352425</xdr:colOff>
      <xdr:row>38</xdr:row>
      <xdr:rowOff>0</xdr:rowOff>
    </xdr:from>
    <xdr:to>
      <xdr:col>12</xdr:col>
      <xdr:colOff>361950</xdr:colOff>
      <xdr:row>39</xdr:row>
      <xdr:rowOff>28575</xdr:rowOff>
    </xdr:to>
    <xdr:sp macro="" textlink="">
      <xdr:nvSpPr>
        <xdr:cNvPr id="2071199" name="Text Box 172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352425</xdr:colOff>
      <xdr:row>38</xdr:row>
      <xdr:rowOff>0</xdr:rowOff>
    </xdr:from>
    <xdr:to>
      <xdr:col>12</xdr:col>
      <xdr:colOff>361950</xdr:colOff>
      <xdr:row>39</xdr:row>
      <xdr:rowOff>28575</xdr:rowOff>
    </xdr:to>
    <xdr:sp macro="" textlink="">
      <xdr:nvSpPr>
        <xdr:cNvPr id="2071200" name="Text Box 173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352425</xdr:colOff>
      <xdr:row>38</xdr:row>
      <xdr:rowOff>0</xdr:rowOff>
    </xdr:from>
    <xdr:to>
      <xdr:col>12</xdr:col>
      <xdr:colOff>361950</xdr:colOff>
      <xdr:row>39</xdr:row>
      <xdr:rowOff>28575</xdr:rowOff>
    </xdr:to>
    <xdr:sp macro="" textlink="">
      <xdr:nvSpPr>
        <xdr:cNvPr id="2071201" name="Text Box 174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352425</xdr:colOff>
      <xdr:row>38</xdr:row>
      <xdr:rowOff>0</xdr:rowOff>
    </xdr:from>
    <xdr:to>
      <xdr:col>12</xdr:col>
      <xdr:colOff>361950</xdr:colOff>
      <xdr:row>39</xdr:row>
      <xdr:rowOff>28575</xdr:rowOff>
    </xdr:to>
    <xdr:sp macro="" textlink="">
      <xdr:nvSpPr>
        <xdr:cNvPr id="2071202" name="Text Box 175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352425</xdr:colOff>
      <xdr:row>38</xdr:row>
      <xdr:rowOff>0</xdr:rowOff>
    </xdr:from>
    <xdr:to>
      <xdr:col>12</xdr:col>
      <xdr:colOff>361950</xdr:colOff>
      <xdr:row>39</xdr:row>
      <xdr:rowOff>28575</xdr:rowOff>
    </xdr:to>
    <xdr:sp macro="" textlink="">
      <xdr:nvSpPr>
        <xdr:cNvPr id="2071203" name="Text Box 198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352425</xdr:colOff>
      <xdr:row>38</xdr:row>
      <xdr:rowOff>0</xdr:rowOff>
    </xdr:from>
    <xdr:to>
      <xdr:col>12</xdr:col>
      <xdr:colOff>361950</xdr:colOff>
      <xdr:row>39</xdr:row>
      <xdr:rowOff>28575</xdr:rowOff>
    </xdr:to>
    <xdr:sp macro="" textlink="">
      <xdr:nvSpPr>
        <xdr:cNvPr id="2071204" name="Text Box 199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352425</xdr:colOff>
      <xdr:row>38</xdr:row>
      <xdr:rowOff>0</xdr:rowOff>
    </xdr:from>
    <xdr:to>
      <xdr:col>12</xdr:col>
      <xdr:colOff>361950</xdr:colOff>
      <xdr:row>39</xdr:row>
      <xdr:rowOff>28575</xdr:rowOff>
    </xdr:to>
    <xdr:sp macro="" textlink="">
      <xdr:nvSpPr>
        <xdr:cNvPr id="2071205" name="Text Box 200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352425</xdr:colOff>
      <xdr:row>38</xdr:row>
      <xdr:rowOff>0</xdr:rowOff>
    </xdr:from>
    <xdr:to>
      <xdr:col>12</xdr:col>
      <xdr:colOff>361950</xdr:colOff>
      <xdr:row>39</xdr:row>
      <xdr:rowOff>28575</xdr:rowOff>
    </xdr:to>
    <xdr:sp macro="" textlink="">
      <xdr:nvSpPr>
        <xdr:cNvPr id="2071206" name="Text Box 20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352425</xdr:colOff>
      <xdr:row>38</xdr:row>
      <xdr:rowOff>0</xdr:rowOff>
    </xdr:from>
    <xdr:to>
      <xdr:col>12</xdr:col>
      <xdr:colOff>361950</xdr:colOff>
      <xdr:row>39</xdr:row>
      <xdr:rowOff>28575</xdr:rowOff>
    </xdr:to>
    <xdr:sp macro="" textlink="">
      <xdr:nvSpPr>
        <xdr:cNvPr id="2071207" name="Text Box 202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352425</xdr:colOff>
      <xdr:row>38</xdr:row>
      <xdr:rowOff>0</xdr:rowOff>
    </xdr:from>
    <xdr:to>
      <xdr:col>12</xdr:col>
      <xdr:colOff>361950</xdr:colOff>
      <xdr:row>39</xdr:row>
      <xdr:rowOff>28575</xdr:rowOff>
    </xdr:to>
    <xdr:sp macro="" textlink="">
      <xdr:nvSpPr>
        <xdr:cNvPr id="2071208" name="Text Box 203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352425</xdr:colOff>
      <xdr:row>38</xdr:row>
      <xdr:rowOff>0</xdr:rowOff>
    </xdr:from>
    <xdr:to>
      <xdr:col>12</xdr:col>
      <xdr:colOff>361950</xdr:colOff>
      <xdr:row>39</xdr:row>
      <xdr:rowOff>28575</xdr:rowOff>
    </xdr:to>
    <xdr:sp macro="" textlink="">
      <xdr:nvSpPr>
        <xdr:cNvPr id="2071209" name="Text Box 204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352425</xdr:colOff>
      <xdr:row>38</xdr:row>
      <xdr:rowOff>0</xdr:rowOff>
    </xdr:from>
    <xdr:to>
      <xdr:col>12</xdr:col>
      <xdr:colOff>361950</xdr:colOff>
      <xdr:row>39</xdr:row>
      <xdr:rowOff>28575</xdr:rowOff>
    </xdr:to>
    <xdr:sp macro="" textlink="">
      <xdr:nvSpPr>
        <xdr:cNvPr id="2071210" name="Text Box 260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352425</xdr:colOff>
      <xdr:row>38</xdr:row>
      <xdr:rowOff>0</xdr:rowOff>
    </xdr:from>
    <xdr:to>
      <xdr:col>12</xdr:col>
      <xdr:colOff>361950</xdr:colOff>
      <xdr:row>39</xdr:row>
      <xdr:rowOff>28575</xdr:rowOff>
    </xdr:to>
    <xdr:sp macro="" textlink="">
      <xdr:nvSpPr>
        <xdr:cNvPr id="2071211" name="Text Box 26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352425</xdr:colOff>
      <xdr:row>38</xdr:row>
      <xdr:rowOff>0</xdr:rowOff>
    </xdr:from>
    <xdr:to>
      <xdr:col>12</xdr:col>
      <xdr:colOff>361950</xdr:colOff>
      <xdr:row>39</xdr:row>
      <xdr:rowOff>28575</xdr:rowOff>
    </xdr:to>
    <xdr:sp macro="" textlink="">
      <xdr:nvSpPr>
        <xdr:cNvPr id="2071212" name="Text Box 97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352425</xdr:colOff>
      <xdr:row>38</xdr:row>
      <xdr:rowOff>0</xdr:rowOff>
    </xdr:from>
    <xdr:to>
      <xdr:col>12</xdr:col>
      <xdr:colOff>361950</xdr:colOff>
      <xdr:row>39</xdr:row>
      <xdr:rowOff>28575</xdr:rowOff>
    </xdr:to>
    <xdr:sp macro="" textlink="">
      <xdr:nvSpPr>
        <xdr:cNvPr id="2071213" name="Text Box 972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352425</xdr:colOff>
      <xdr:row>38</xdr:row>
      <xdr:rowOff>0</xdr:rowOff>
    </xdr:from>
    <xdr:to>
      <xdr:col>12</xdr:col>
      <xdr:colOff>361950</xdr:colOff>
      <xdr:row>39</xdr:row>
      <xdr:rowOff>28575</xdr:rowOff>
    </xdr:to>
    <xdr:sp macro="" textlink="">
      <xdr:nvSpPr>
        <xdr:cNvPr id="2071214" name="Text Box 973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352425</xdr:colOff>
      <xdr:row>38</xdr:row>
      <xdr:rowOff>0</xdr:rowOff>
    </xdr:from>
    <xdr:to>
      <xdr:col>12</xdr:col>
      <xdr:colOff>361950</xdr:colOff>
      <xdr:row>39</xdr:row>
      <xdr:rowOff>28575</xdr:rowOff>
    </xdr:to>
    <xdr:sp macro="" textlink="">
      <xdr:nvSpPr>
        <xdr:cNvPr id="2071215" name="Text Box 974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295275</xdr:colOff>
      <xdr:row>38</xdr:row>
      <xdr:rowOff>0</xdr:rowOff>
    </xdr:from>
    <xdr:to>
      <xdr:col>12</xdr:col>
      <xdr:colOff>400050</xdr:colOff>
      <xdr:row>39</xdr:row>
      <xdr:rowOff>28575</xdr:rowOff>
    </xdr:to>
    <xdr:sp macro="" textlink="">
      <xdr:nvSpPr>
        <xdr:cNvPr id="2071216" name="Text Box 168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295275</xdr:colOff>
      <xdr:row>38</xdr:row>
      <xdr:rowOff>0</xdr:rowOff>
    </xdr:from>
    <xdr:to>
      <xdr:col>12</xdr:col>
      <xdr:colOff>400050</xdr:colOff>
      <xdr:row>39</xdr:row>
      <xdr:rowOff>28575</xdr:rowOff>
    </xdr:to>
    <xdr:sp macro="" textlink="">
      <xdr:nvSpPr>
        <xdr:cNvPr id="2071217" name="Text Box 169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295275</xdr:colOff>
      <xdr:row>38</xdr:row>
      <xdr:rowOff>0</xdr:rowOff>
    </xdr:from>
    <xdr:to>
      <xdr:col>12</xdr:col>
      <xdr:colOff>400050</xdr:colOff>
      <xdr:row>39</xdr:row>
      <xdr:rowOff>28575</xdr:rowOff>
    </xdr:to>
    <xdr:sp macro="" textlink="">
      <xdr:nvSpPr>
        <xdr:cNvPr id="2071218" name="Text Box 170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295275</xdr:colOff>
      <xdr:row>38</xdr:row>
      <xdr:rowOff>0</xdr:rowOff>
    </xdr:from>
    <xdr:to>
      <xdr:col>12</xdr:col>
      <xdr:colOff>400050</xdr:colOff>
      <xdr:row>39</xdr:row>
      <xdr:rowOff>28575</xdr:rowOff>
    </xdr:to>
    <xdr:sp macro="" textlink="">
      <xdr:nvSpPr>
        <xdr:cNvPr id="2071219" name="Text Box 17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295275</xdr:colOff>
      <xdr:row>38</xdr:row>
      <xdr:rowOff>0</xdr:rowOff>
    </xdr:from>
    <xdr:to>
      <xdr:col>12</xdr:col>
      <xdr:colOff>400050</xdr:colOff>
      <xdr:row>39</xdr:row>
      <xdr:rowOff>28575</xdr:rowOff>
    </xdr:to>
    <xdr:sp macro="" textlink="">
      <xdr:nvSpPr>
        <xdr:cNvPr id="2071220" name="Text Box 172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295275</xdr:colOff>
      <xdr:row>38</xdr:row>
      <xdr:rowOff>0</xdr:rowOff>
    </xdr:from>
    <xdr:to>
      <xdr:col>12</xdr:col>
      <xdr:colOff>400050</xdr:colOff>
      <xdr:row>39</xdr:row>
      <xdr:rowOff>28575</xdr:rowOff>
    </xdr:to>
    <xdr:sp macro="" textlink="">
      <xdr:nvSpPr>
        <xdr:cNvPr id="2071221" name="Text Box 173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295275</xdr:colOff>
      <xdr:row>38</xdr:row>
      <xdr:rowOff>0</xdr:rowOff>
    </xdr:from>
    <xdr:to>
      <xdr:col>12</xdr:col>
      <xdr:colOff>400050</xdr:colOff>
      <xdr:row>39</xdr:row>
      <xdr:rowOff>28575</xdr:rowOff>
    </xdr:to>
    <xdr:sp macro="" textlink="">
      <xdr:nvSpPr>
        <xdr:cNvPr id="2071222" name="Text Box 174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295275</xdr:colOff>
      <xdr:row>38</xdr:row>
      <xdr:rowOff>0</xdr:rowOff>
    </xdr:from>
    <xdr:to>
      <xdr:col>12</xdr:col>
      <xdr:colOff>400050</xdr:colOff>
      <xdr:row>39</xdr:row>
      <xdr:rowOff>28575</xdr:rowOff>
    </xdr:to>
    <xdr:sp macro="" textlink="">
      <xdr:nvSpPr>
        <xdr:cNvPr id="2071223" name="Text Box 175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295275</xdr:colOff>
      <xdr:row>38</xdr:row>
      <xdr:rowOff>0</xdr:rowOff>
    </xdr:from>
    <xdr:to>
      <xdr:col>12</xdr:col>
      <xdr:colOff>400050</xdr:colOff>
      <xdr:row>39</xdr:row>
      <xdr:rowOff>28575</xdr:rowOff>
    </xdr:to>
    <xdr:sp macro="" textlink="">
      <xdr:nvSpPr>
        <xdr:cNvPr id="2071224" name="Text Box 198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295275</xdr:colOff>
      <xdr:row>38</xdr:row>
      <xdr:rowOff>0</xdr:rowOff>
    </xdr:from>
    <xdr:to>
      <xdr:col>12</xdr:col>
      <xdr:colOff>400050</xdr:colOff>
      <xdr:row>39</xdr:row>
      <xdr:rowOff>28575</xdr:rowOff>
    </xdr:to>
    <xdr:sp macro="" textlink="">
      <xdr:nvSpPr>
        <xdr:cNvPr id="2071225" name="Text Box 199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295275</xdr:colOff>
      <xdr:row>38</xdr:row>
      <xdr:rowOff>0</xdr:rowOff>
    </xdr:from>
    <xdr:to>
      <xdr:col>12</xdr:col>
      <xdr:colOff>400050</xdr:colOff>
      <xdr:row>39</xdr:row>
      <xdr:rowOff>28575</xdr:rowOff>
    </xdr:to>
    <xdr:sp macro="" textlink="">
      <xdr:nvSpPr>
        <xdr:cNvPr id="2071226" name="Text Box 200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295275</xdr:colOff>
      <xdr:row>38</xdr:row>
      <xdr:rowOff>0</xdr:rowOff>
    </xdr:from>
    <xdr:to>
      <xdr:col>12</xdr:col>
      <xdr:colOff>400050</xdr:colOff>
      <xdr:row>39</xdr:row>
      <xdr:rowOff>28575</xdr:rowOff>
    </xdr:to>
    <xdr:sp macro="" textlink="">
      <xdr:nvSpPr>
        <xdr:cNvPr id="2071227" name="Text Box 20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295275</xdr:colOff>
      <xdr:row>38</xdr:row>
      <xdr:rowOff>0</xdr:rowOff>
    </xdr:from>
    <xdr:to>
      <xdr:col>12</xdr:col>
      <xdr:colOff>400050</xdr:colOff>
      <xdr:row>39</xdr:row>
      <xdr:rowOff>28575</xdr:rowOff>
    </xdr:to>
    <xdr:sp macro="" textlink="">
      <xdr:nvSpPr>
        <xdr:cNvPr id="2071228" name="Text Box 202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295275</xdr:colOff>
      <xdr:row>38</xdr:row>
      <xdr:rowOff>0</xdr:rowOff>
    </xdr:from>
    <xdr:to>
      <xdr:col>12</xdr:col>
      <xdr:colOff>400050</xdr:colOff>
      <xdr:row>39</xdr:row>
      <xdr:rowOff>28575</xdr:rowOff>
    </xdr:to>
    <xdr:sp macro="" textlink="">
      <xdr:nvSpPr>
        <xdr:cNvPr id="2071229" name="Text Box 203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295275</xdr:colOff>
      <xdr:row>38</xdr:row>
      <xdr:rowOff>0</xdr:rowOff>
    </xdr:from>
    <xdr:to>
      <xdr:col>12</xdr:col>
      <xdr:colOff>400050</xdr:colOff>
      <xdr:row>39</xdr:row>
      <xdr:rowOff>28575</xdr:rowOff>
    </xdr:to>
    <xdr:sp macro="" textlink="">
      <xdr:nvSpPr>
        <xdr:cNvPr id="2071230" name="Text Box 204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295275</xdr:colOff>
      <xdr:row>38</xdr:row>
      <xdr:rowOff>0</xdr:rowOff>
    </xdr:from>
    <xdr:to>
      <xdr:col>12</xdr:col>
      <xdr:colOff>400050</xdr:colOff>
      <xdr:row>39</xdr:row>
      <xdr:rowOff>28575</xdr:rowOff>
    </xdr:to>
    <xdr:sp macro="" textlink="">
      <xdr:nvSpPr>
        <xdr:cNvPr id="2071231" name="Text Box 260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295275</xdr:colOff>
      <xdr:row>38</xdr:row>
      <xdr:rowOff>0</xdr:rowOff>
    </xdr:from>
    <xdr:to>
      <xdr:col>12</xdr:col>
      <xdr:colOff>400050</xdr:colOff>
      <xdr:row>39</xdr:row>
      <xdr:rowOff>28575</xdr:rowOff>
    </xdr:to>
    <xdr:sp macro="" textlink="">
      <xdr:nvSpPr>
        <xdr:cNvPr id="2071232" name="Text Box 26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295275</xdr:colOff>
      <xdr:row>38</xdr:row>
      <xdr:rowOff>0</xdr:rowOff>
    </xdr:from>
    <xdr:to>
      <xdr:col>12</xdr:col>
      <xdr:colOff>400050</xdr:colOff>
      <xdr:row>39</xdr:row>
      <xdr:rowOff>28575</xdr:rowOff>
    </xdr:to>
    <xdr:sp macro="" textlink="">
      <xdr:nvSpPr>
        <xdr:cNvPr id="2071233" name="Text Box 97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295275</xdr:colOff>
      <xdr:row>38</xdr:row>
      <xdr:rowOff>0</xdr:rowOff>
    </xdr:from>
    <xdr:to>
      <xdr:col>12</xdr:col>
      <xdr:colOff>400050</xdr:colOff>
      <xdr:row>39</xdr:row>
      <xdr:rowOff>28575</xdr:rowOff>
    </xdr:to>
    <xdr:sp macro="" textlink="">
      <xdr:nvSpPr>
        <xdr:cNvPr id="2071234" name="Text Box 972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295275</xdr:colOff>
      <xdr:row>38</xdr:row>
      <xdr:rowOff>0</xdr:rowOff>
    </xdr:from>
    <xdr:to>
      <xdr:col>12</xdr:col>
      <xdr:colOff>400050</xdr:colOff>
      <xdr:row>39</xdr:row>
      <xdr:rowOff>28575</xdr:rowOff>
    </xdr:to>
    <xdr:sp macro="" textlink="">
      <xdr:nvSpPr>
        <xdr:cNvPr id="2071235" name="Text Box 973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295275</xdr:colOff>
      <xdr:row>38</xdr:row>
      <xdr:rowOff>0</xdr:rowOff>
    </xdr:from>
    <xdr:to>
      <xdr:col>12</xdr:col>
      <xdr:colOff>400050</xdr:colOff>
      <xdr:row>39</xdr:row>
      <xdr:rowOff>28575</xdr:rowOff>
    </xdr:to>
    <xdr:sp macro="" textlink="">
      <xdr:nvSpPr>
        <xdr:cNvPr id="2071236" name="Text Box 974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352425</xdr:colOff>
      <xdr:row>38</xdr:row>
      <xdr:rowOff>0</xdr:rowOff>
    </xdr:from>
    <xdr:to>
      <xdr:col>11</xdr:col>
      <xdr:colOff>361950</xdr:colOff>
      <xdr:row>39</xdr:row>
      <xdr:rowOff>28575</xdr:rowOff>
    </xdr:to>
    <xdr:sp macro="" textlink="">
      <xdr:nvSpPr>
        <xdr:cNvPr id="2071237" name="Text Box 168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352425</xdr:colOff>
      <xdr:row>38</xdr:row>
      <xdr:rowOff>0</xdr:rowOff>
    </xdr:from>
    <xdr:to>
      <xdr:col>11</xdr:col>
      <xdr:colOff>361950</xdr:colOff>
      <xdr:row>39</xdr:row>
      <xdr:rowOff>28575</xdr:rowOff>
    </xdr:to>
    <xdr:sp macro="" textlink="">
      <xdr:nvSpPr>
        <xdr:cNvPr id="2071238" name="Text Box 169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352425</xdr:colOff>
      <xdr:row>38</xdr:row>
      <xdr:rowOff>0</xdr:rowOff>
    </xdr:from>
    <xdr:to>
      <xdr:col>11</xdr:col>
      <xdr:colOff>361950</xdr:colOff>
      <xdr:row>39</xdr:row>
      <xdr:rowOff>28575</xdr:rowOff>
    </xdr:to>
    <xdr:sp macro="" textlink="">
      <xdr:nvSpPr>
        <xdr:cNvPr id="2071239" name="Text Box 170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352425</xdr:colOff>
      <xdr:row>38</xdr:row>
      <xdr:rowOff>0</xdr:rowOff>
    </xdr:from>
    <xdr:to>
      <xdr:col>11</xdr:col>
      <xdr:colOff>361950</xdr:colOff>
      <xdr:row>39</xdr:row>
      <xdr:rowOff>28575</xdr:rowOff>
    </xdr:to>
    <xdr:sp macro="" textlink="">
      <xdr:nvSpPr>
        <xdr:cNvPr id="2071240" name="Text Box 17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352425</xdr:colOff>
      <xdr:row>38</xdr:row>
      <xdr:rowOff>0</xdr:rowOff>
    </xdr:from>
    <xdr:to>
      <xdr:col>11</xdr:col>
      <xdr:colOff>361950</xdr:colOff>
      <xdr:row>39</xdr:row>
      <xdr:rowOff>28575</xdr:rowOff>
    </xdr:to>
    <xdr:sp macro="" textlink="">
      <xdr:nvSpPr>
        <xdr:cNvPr id="2071241" name="Text Box 172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352425</xdr:colOff>
      <xdr:row>38</xdr:row>
      <xdr:rowOff>0</xdr:rowOff>
    </xdr:from>
    <xdr:to>
      <xdr:col>11</xdr:col>
      <xdr:colOff>361950</xdr:colOff>
      <xdr:row>39</xdr:row>
      <xdr:rowOff>28575</xdr:rowOff>
    </xdr:to>
    <xdr:sp macro="" textlink="">
      <xdr:nvSpPr>
        <xdr:cNvPr id="2071242" name="Text Box 173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352425</xdr:colOff>
      <xdr:row>38</xdr:row>
      <xdr:rowOff>0</xdr:rowOff>
    </xdr:from>
    <xdr:to>
      <xdr:col>11</xdr:col>
      <xdr:colOff>361950</xdr:colOff>
      <xdr:row>39</xdr:row>
      <xdr:rowOff>28575</xdr:rowOff>
    </xdr:to>
    <xdr:sp macro="" textlink="">
      <xdr:nvSpPr>
        <xdr:cNvPr id="2071243" name="Text Box 174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352425</xdr:colOff>
      <xdr:row>38</xdr:row>
      <xdr:rowOff>0</xdr:rowOff>
    </xdr:from>
    <xdr:to>
      <xdr:col>11</xdr:col>
      <xdr:colOff>361950</xdr:colOff>
      <xdr:row>39</xdr:row>
      <xdr:rowOff>28575</xdr:rowOff>
    </xdr:to>
    <xdr:sp macro="" textlink="">
      <xdr:nvSpPr>
        <xdr:cNvPr id="2071244" name="Text Box 175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352425</xdr:colOff>
      <xdr:row>38</xdr:row>
      <xdr:rowOff>0</xdr:rowOff>
    </xdr:from>
    <xdr:to>
      <xdr:col>11</xdr:col>
      <xdr:colOff>361950</xdr:colOff>
      <xdr:row>39</xdr:row>
      <xdr:rowOff>28575</xdr:rowOff>
    </xdr:to>
    <xdr:sp macro="" textlink="">
      <xdr:nvSpPr>
        <xdr:cNvPr id="2071245" name="Text Box 198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352425</xdr:colOff>
      <xdr:row>38</xdr:row>
      <xdr:rowOff>0</xdr:rowOff>
    </xdr:from>
    <xdr:to>
      <xdr:col>11</xdr:col>
      <xdr:colOff>361950</xdr:colOff>
      <xdr:row>39</xdr:row>
      <xdr:rowOff>28575</xdr:rowOff>
    </xdr:to>
    <xdr:sp macro="" textlink="">
      <xdr:nvSpPr>
        <xdr:cNvPr id="2071246" name="Text Box 199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352425</xdr:colOff>
      <xdr:row>38</xdr:row>
      <xdr:rowOff>0</xdr:rowOff>
    </xdr:from>
    <xdr:to>
      <xdr:col>11</xdr:col>
      <xdr:colOff>361950</xdr:colOff>
      <xdr:row>39</xdr:row>
      <xdr:rowOff>28575</xdr:rowOff>
    </xdr:to>
    <xdr:sp macro="" textlink="">
      <xdr:nvSpPr>
        <xdr:cNvPr id="2071247" name="Text Box 200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352425</xdr:colOff>
      <xdr:row>38</xdr:row>
      <xdr:rowOff>0</xdr:rowOff>
    </xdr:from>
    <xdr:to>
      <xdr:col>11</xdr:col>
      <xdr:colOff>361950</xdr:colOff>
      <xdr:row>39</xdr:row>
      <xdr:rowOff>28575</xdr:rowOff>
    </xdr:to>
    <xdr:sp macro="" textlink="">
      <xdr:nvSpPr>
        <xdr:cNvPr id="2071248" name="Text Box 20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352425</xdr:colOff>
      <xdr:row>38</xdr:row>
      <xdr:rowOff>0</xdr:rowOff>
    </xdr:from>
    <xdr:to>
      <xdr:col>11</xdr:col>
      <xdr:colOff>361950</xdr:colOff>
      <xdr:row>39</xdr:row>
      <xdr:rowOff>28575</xdr:rowOff>
    </xdr:to>
    <xdr:sp macro="" textlink="">
      <xdr:nvSpPr>
        <xdr:cNvPr id="2071249" name="Text Box 202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352425</xdr:colOff>
      <xdr:row>38</xdr:row>
      <xdr:rowOff>0</xdr:rowOff>
    </xdr:from>
    <xdr:to>
      <xdr:col>11</xdr:col>
      <xdr:colOff>361950</xdr:colOff>
      <xdr:row>39</xdr:row>
      <xdr:rowOff>28575</xdr:rowOff>
    </xdr:to>
    <xdr:sp macro="" textlink="">
      <xdr:nvSpPr>
        <xdr:cNvPr id="2071250" name="Text Box 203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352425</xdr:colOff>
      <xdr:row>38</xdr:row>
      <xdr:rowOff>0</xdr:rowOff>
    </xdr:from>
    <xdr:to>
      <xdr:col>11</xdr:col>
      <xdr:colOff>361950</xdr:colOff>
      <xdr:row>39</xdr:row>
      <xdr:rowOff>28575</xdr:rowOff>
    </xdr:to>
    <xdr:sp macro="" textlink="">
      <xdr:nvSpPr>
        <xdr:cNvPr id="2071251" name="Text Box 204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352425</xdr:colOff>
      <xdr:row>38</xdr:row>
      <xdr:rowOff>0</xdr:rowOff>
    </xdr:from>
    <xdr:to>
      <xdr:col>11</xdr:col>
      <xdr:colOff>361950</xdr:colOff>
      <xdr:row>39</xdr:row>
      <xdr:rowOff>28575</xdr:rowOff>
    </xdr:to>
    <xdr:sp macro="" textlink="">
      <xdr:nvSpPr>
        <xdr:cNvPr id="2071252" name="Text Box 260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352425</xdr:colOff>
      <xdr:row>38</xdr:row>
      <xdr:rowOff>0</xdr:rowOff>
    </xdr:from>
    <xdr:to>
      <xdr:col>11</xdr:col>
      <xdr:colOff>361950</xdr:colOff>
      <xdr:row>39</xdr:row>
      <xdr:rowOff>28575</xdr:rowOff>
    </xdr:to>
    <xdr:sp macro="" textlink="">
      <xdr:nvSpPr>
        <xdr:cNvPr id="2071253" name="Text Box 26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352425</xdr:colOff>
      <xdr:row>38</xdr:row>
      <xdr:rowOff>0</xdr:rowOff>
    </xdr:from>
    <xdr:to>
      <xdr:col>11</xdr:col>
      <xdr:colOff>361950</xdr:colOff>
      <xdr:row>39</xdr:row>
      <xdr:rowOff>28575</xdr:rowOff>
    </xdr:to>
    <xdr:sp macro="" textlink="">
      <xdr:nvSpPr>
        <xdr:cNvPr id="2071254" name="Text Box 97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352425</xdr:colOff>
      <xdr:row>38</xdr:row>
      <xdr:rowOff>0</xdr:rowOff>
    </xdr:from>
    <xdr:to>
      <xdr:col>11</xdr:col>
      <xdr:colOff>361950</xdr:colOff>
      <xdr:row>39</xdr:row>
      <xdr:rowOff>28575</xdr:rowOff>
    </xdr:to>
    <xdr:sp macro="" textlink="">
      <xdr:nvSpPr>
        <xdr:cNvPr id="2071255" name="Text Box 972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352425</xdr:colOff>
      <xdr:row>38</xdr:row>
      <xdr:rowOff>0</xdr:rowOff>
    </xdr:from>
    <xdr:to>
      <xdr:col>11</xdr:col>
      <xdr:colOff>361950</xdr:colOff>
      <xdr:row>39</xdr:row>
      <xdr:rowOff>28575</xdr:rowOff>
    </xdr:to>
    <xdr:sp macro="" textlink="">
      <xdr:nvSpPr>
        <xdr:cNvPr id="2071256" name="Text Box 973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352425</xdr:colOff>
      <xdr:row>38</xdr:row>
      <xdr:rowOff>0</xdr:rowOff>
    </xdr:from>
    <xdr:to>
      <xdr:col>11</xdr:col>
      <xdr:colOff>361950</xdr:colOff>
      <xdr:row>39</xdr:row>
      <xdr:rowOff>28575</xdr:rowOff>
    </xdr:to>
    <xdr:sp macro="" textlink="">
      <xdr:nvSpPr>
        <xdr:cNvPr id="2071257" name="Text Box 974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295275</xdr:colOff>
      <xdr:row>38</xdr:row>
      <xdr:rowOff>0</xdr:rowOff>
    </xdr:from>
    <xdr:to>
      <xdr:col>11</xdr:col>
      <xdr:colOff>400050</xdr:colOff>
      <xdr:row>39</xdr:row>
      <xdr:rowOff>28575</xdr:rowOff>
    </xdr:to>
    <xdr:sp macro="" textlink="">
      <xdr:nvSpPr>
        <xdr:cNvPr id="2071258" name="Text Box 168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295275</xdr:colOff>
      <xdr:row>38</xdr:row>
      <xdr:rowOff>0</xdr:rowOff>
    </xdr:from>
    <xdr:to>
      <xdr:col>11</xdr:col>
      <xdr:colOff>400050</xdr:colOff>
      <xdr:row>39</xdr:row>
      <xdr:rowOff>28575</xdr:rowOff>
    </xdr:to>
    <xdr:sp macro="" textlink="">
      <xdr:nvSpPr>
        <xdr:cNvPr id="2071259" name="Text Box 169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295275</xdr:colOff>
      <xdr:row>38</xdr:row>
      <xdr:rowOff>0</xdr:rowOff>
    </xdr:from>
    <xdr:to>
      <xdr:col>11</xdr:col>
      <xdr:colOff>400050</xdr:colOff>
      <xdr:row>39</xdr:row>
      <xdr:rowOff>28575</xdr:rowOff>
    </xdr:to>
    <xdr:sp macro="" textlink="">
      <xdr:nvSpPr>
        <xdr:cNvPr id="2071260" name="Text Box 170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295275</xdr:colOff>
      <xdr:row>38</xdr:row>
      <xdr:rowOff>0</xdr:rowOff>
    </xdr:from>
    <xdr:to>
      <xdr:col>11</xdr:col>
      <xdr:colOff>400050</xdr:colOff>
      <xdr:row>39</xdr:row>
      <xdr:rowOff>28575</xdr:rowOff>
    </xdr:to>
    <xdr:sp macro="" textlink="">
      <xdr:nvSpPr>
        <xdr:cNvPr id="2071261" name="Text Box 17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295275</xdr:colOff>
      <xdr:row>38</xdr:row>
      <xdr:rowOff>0</xdr:rowOff>
    </xdr:from>
    <xdr:to>
      <xdr:col>11</xdr:col>
      <xdr:colOff>400050</xdr:colOff>
      <xdr:row>39</xdr:row>
      <xdr:rowOff>28575</xdr:rowOff>
    </xdr:to>
    <xdr:sp macro="" textlink="">
      <xdr:nvSpPr>
        <xdr:cNvPr id="2071262" name="Text Box 172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295275</xdr:colOff>
      <xdr:row>38</xdr:row>
      <xdr:rowOff>0</xdr:rowOff>
    </xdr:from>
    <xdr:to>
      <xdr:col>11</xdr:col>
      <xdr:colOff>400050</xdr:colOff>
      <xdr:row>39</xdr:row>
      <xdr:rowOff>28575</xdr:rowOff>
    </xdr:to>
    <xdr:sp macro="" textlink="">
      <xdr:nvSpPr>
        <xdr:cNvPr id="2071263" name="Text Box 173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295275</xdr:colOff>
      <xdr:row>38</xdr:row>
      <xdr:rowOff>0</xdr:rowOff>
    </xdr:from>
    <xdr:to>
      <xdr:col>11</xdr:col>
      <xdr:colOff>400050</xdr:colOff>
      <xdr:row>39</xdr:row>
      <xdr:rowOff>28575</xdr:rowOff>
    </xdr:to>
    <xdr:sp macro="" textlink="">
      <xdr:nvSpPr>
        <xdr:cNvPr id="2071264" name="Text Box 174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295275</xdr:colOff>
      <xdr:row>38</xdr:row>
      <xdr:rowOff>0</xdr:rowOff>
    </xdr:from>
    <xdr:to>
      <xdr:col>11</xdr:col>
      <xdr:colOff>400050</xdr:colOff>
      <xdr:row>39</xdr:row>
      <xdr:rowOff>28575</xdr:rowOff>
    </xdr:to>
    <xdr:sp macro="" textlink="">
      <xdr:nvSpPr>
        <xdr:cNvPr id="2071265" name="Text Box 175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295275</xdr:colOff>
      <xdr:row>38</xdr:row>
      <xdr:rowOff>0</xdr:rowOff>
    </xdr:from>
    <xdr:to>
      <xdr:col>11</xdr:col>
      <xdr:colOff>400050</xdr:colOff>
      <xdr:row>39</xdr:row>
      <xdr:rowOff>28575</xdr:rowOff>
    </xdr:to>
    <xdr:sp macro="" textlink="">
      <xdr:nvSpPr>
        <xdr:cNvPr id="2071266" name="Text Box 198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295275</xdr:colOff>
      <xdr:row>38</xdr:row>
      <xdr:rowOff>0</xdr:rowOff>
    </xdr:from>
    <xdr:to>
      <xdr:col>11</xdr:col>
      <xdr:colOff>400050</xdr:colOff>
      <xdr:row>39</xdr:row>
      <xdr:rowOff>28575</xdr:rowOff>
    </xdr:to>
    <xdr:sp macro="" textlink="">
      <xdr:nvSpPr>
        <xdr:cNvPr id="2071267" name="Text Box 199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295275</xdr:colOff>
      <xdr:row>38</xdr:row>
      <xdr:rowOff>0</xdr:rowOff>
    </xdr:from>
    <xdr:to>
      <xdr:col>11</xdr:col>
      <xdr:colOff>400050</xdr:colOff>
      <xdr:row>39</xdr:row>
      <xdr:rowOff>28575</xdr:rowOff>
    </xdr:to>
    <xdr:sp macro="" textlink="">
      <xdr:nvSpPr>
        <xdr:cNvPr id="2071268" name="Text Box 200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295275</xdr:colOff>
      <xdr:row>38</xdr:row>
      <xdr:rowOff>0</xdr:rowOff>
    </xdr:from>
    <xdr:to>
      <xdr:col>11</xdr:col>
      <xdr:colOff>400050</xdr:colOff>
      <xdr:row>39</xdr:row>
      <xdr:rowOff>28575</xdr:rowOff>
    </xdr:to>
    <xdr:sp macro="" textlink="">
      <xdr:nvSpPr>
        <xdr:cNvPr id="2071269" name="Text Box 20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295275</xdr:colOff>
      <xdr:row>38</xdr:row>
      <xdr:rowOff>0</xdr:rowOff>
    </xdr:from>
    <xdr:to>
      <xdr:col>11</xdr:col>
      <xdr:colOff>400050</xdr:colOff>
      <xdr:row>39</xdr:row>
      <xdr:rowOff>28575</xdr:rowOff>
    </xdr:to>
    <xdr:sp macro="" textlink="">
      <xdr:nvSpPr>
        <xdr:cNvPr id="2071270" name="Text Box 202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295275</xdr:colOff>
      <xdr:row>38</xdr:row>
      <xdr:rowOff>0</xdr:rowOff>
    </xdr:from>
    <xdr:to>
      <xdr:col>11</xdr:col>
      <xdr:colOff>400050</xdr:colOff>
      <xdr:row>39</xdr:row>
      <xdr:rowOff>28575</xdr:rowOff>
    </xdr:to>
    <xdr:sp macro="" textlink="">
      <xdr:nvSpPr>
        <xdr:cNvPr id="2071271" name="Text Box 203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295275</xdr:colOff>
      <xdr:row>38</xdr:row>
      <xdr:rowOff>0</xdr:rowOff>
    </xdr:from>
    <xdr:to>
      <xdr:col>11</xdr:col>
      <xdr:colOff>400050</xdr:colOff>
      <xdr:row>39</xdr:row>
      <xdr:rowOff>28575</xdr:rowOff>
    </xdr:to>
    <xdr:sp macro="" textlink="">
      <xdr:nvSpPr>
        <xdr:cNvPr id="2071272" name="Text Box 204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295275</xdr:colOff>
      <xdr:row>38</xdr:row>
      <xdr:rowOff>0</xdr:rowOff>
    </xdr:from>
    <xdr:to>
      <xdr:col>11</xdr:col>
      <xdr:colOff>400050</xdr:colOff>
      <xdr:row>39</xdr:row>
      <xdr:rowOff>28575</xdr:rowOff>
    </xdr:to>
    <xdr:sp macro="" textlink="">
      <xdr:nvSpPr>
        <xdr:cNvPr id="2071273" name="Text Box 260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295275</xdr:colOff>
      <xdr:row>38</xdr:row>
      <xdr:rowOff>0</xdr:rowOff>
    </xdr:from>
    <xdr:to>
      <xdr:col>11</xdr:col>
      <xdr:colOff>400050</xdr:colOff>
      <xdr:row>39</xdr:row>
      <xdr:rowOff>28575</xdr:rowOff>
    </xdr:to>
    <xdr:sp macro="" textlink="">
      <xdr:nvSpPr>
        <xdr:cNvPr id="2071274" name="Text Box 26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295275</xdr:colOff>
      <xdr:row>38</xdr:row>
      <xdr:rowOff>0</xdr:rowOff>
    </xdr:from>
    <xdr:to>
      <xdr:col>11</xdr:col>
      <xdr:colOff>400050</xdr:colOff>
      <xdr:row>39</xdr:row>
      <xdr:rowOff>28575</xdr:rowOff>
    </xdr:to>
    <xdr:sp macro="" textlink="">
      <xdr:nvSpPr>
        <xdr:cNvPr id="2071275" name="Text Box 97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295275</xdr:colOff>
      <xdr:row>38</xdr:row>
      <xdr:rowOff>0</xdr:rowOff>
    </xdr:from>
    <xdr:to>
      <xdr:col>11</xdr:col>
      <xdr:colOff>400050</xdr:colOff>
      <xdr:row>39</xdr:row>
      <xdr:rowOff>28575</xdr:rowOff>
    </xdr:to>
    <xdr:sp macro="" textlink="">
      <xdr:nvSpPr>
        <xdr:cNvPr id="2071276" name="Text Box 972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295275</xdr:colOff>
      <xdr:row>38</xdr:row>
      <xdr:rowOff>0</xdr:rowOff>
    </xdr:from>
    <xdr:to>
      <xdr:col>11</xdr:col>
      <xdr:colOff>400050</xdr:colOff>
      <xdr:row>39</xdr:row>
      <xdr:rowOff>28575</xdr:rowOff>
    </xdr:to>
    <xdr:sp macro="" textlink="">
      <xdr:nvSpPr>
        <xdr:cNvPr id="2071277" name="Text Box 973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295275</xdr:colOff>
      <xdr:row>38</xdr:row>
      <xdr:rowOff>0</xdr:rowOff>
    </xdr:from>
    <xdr:to>
      <xdr:col>11</xdr:col>
      <xdr:colOff>400050</xdr:colOff>
      <xdr:row>39</xdr:row>
      <xdr:rowOff>28575</xdr:rowOff>
    </xdr:to>
    <xdr:sp macro="" textlink="">
      <xdr:nvSpPr>
        <xdr:cNvPr id="2071278" name="Text Box 974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352425</xdr:colOff>
      <xdr:row>38</xdr:row>
      <xdr:rowOff>0</xdr:rowOff>
    </xdr:from>
    <xdr:to>
      <xdr:col>12</xdr:col>
      <xdr:colOff>361950</xdr:colOff>
      <xdr:row>39</xdr:row>
      <xdr:rowOff>28575</xdr:rowOff>
    </xdr:to>
    <xdr:sp macro="" textlink="">
      <xdr:nvSpPr>
        <xdr:cNvPr id="2071279" name="Text Box 168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352425</xdr:colOff>
      <xdr:row>38</xdr:row>
      <xdr:rowOff>0</xdr:rowOff>
    </xdr:from>
    <xdr:to>
      <xdr:col>12</xdr:col>
      <xdr:colOff>361950</xdr:colOff>
      <xdr:row>39</xdr:row>
      <xdr:rowOff>28575</xdr:rowOff>
    </xdr:to>
    <xdr:sp macro="" textlink="">
      <xdr:nvSpPr>
        <xdr:cNvPr id="2071280" name="Text Box 169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352425</xdr:colOff>
      <xdr:row>38</xdr:row>
      <xdr:rowOff>0</xdr:rowOff>
    </xdr:from>
    <xdr:to>
      <xdr:col>12</xdr:col>
      <xdr:colOff>361950</xdr:colOff>
      <xdr:row>39</xdr:row>
      <xdr:rowOff>28575</xdr:rowOff>
    </xdr:to>
    <xdr:sp macro="" textlink="">
      <xdr:nvSpPr>
        <xdr:cNvPr id="2071281" name="Text Box 170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352425</xdr:colOff>
      <xdr:row>38</xdr:row>
      <xdr:rowOff>0</xdr:rowOff>
    </xdr:from>
    <xdr:to>
      <xdr:col>12</xdr:col>
      <xdr:colOff>361950</xdr:colOff>
      <xdr:row>39</xdr:row>
      <xdr:rowOff>28575</xdr:rowOff>
    </xdr:to>
    <xdr:sp macro="" textlink="">
      <xdr:nvSpPr>
        <xdr:cNvPr id="2071282" name="Text Box 17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352425</xdr:colOff>
      <xdr:row>38</xdr:row>
      <xdr:rowOff>0</xdr:rowOff>
    </xdr:from>
    <xdr:to>
      <xdr:col>12</xdr:col>
      <xdr:colOff>361950</xdr:colOff>
      <xdr:row>39</xdr:row>
      <xdr:rowOff>28575</xdr:rowOff>
    </xdr:to>
    <xdr:sp macro="" textlink="">
      <xdr:nvSpPr>
        <xdr:cNvPr id="2071283" name="Text Box 172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352425</xdr:colOff>
      <xdr:row>38</xdr:row>
      <xdr:rowOff>0</xdr:rowOff>
    </xdr:from>
    <xdr:to>
      <xdr:col>12</xdr:col>
      <xdr:colOff>361950</xdr:colOff>
      <xdr:row>39</xdr:row>
      <xdr:rowOff>28575</xdr:rowOff>
    </xdr:to>
    <xdr:sp macro="" textlink="">
      <xdr:nvSpPr>
        <xdr:cNvPr id="2071284" name="Text Box 173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352425</xdr:colOff>
      <xdr:row>38</xdr:row>
      <xdr:rowOff>0</xdr:rowOff>
    </xdr:from>
    <xdr:to>
      <xdr:col>12</xdr:col>
      <xdr:colOff>361950</xdr:colOff>
      <xdr:row>39</xdr:row>
      <xdr:rowOff>28575</xdr:rowOff>
    </xdr:to>
    <xdr:sp macro="" textlink="">
      <xdr:nvSpPr>
        <xdr:cNvPr id="2071285" name="Text Box 174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352425</xdr:colOff>
      <xdr:row>38</xdr:row>
      <xdr:rowOff>0</xdr:rowOff>
    </xdr:from>
    <xdr:to>
      <xdr:col>12</xdr:col>
      <xdr:colOff>361950</xdr:colOff>
      <xdr:row>39</xdr:row>
      <xdr:rowOff>28575</xdr:rowOff>
    </xdr:to>
    <xdr:sp macro="" textlink="">
      <xdr:nvSpPr>
        <xdr:cNvPr id="2071286" name="Text Box 175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352425</xdr:colOff>
      <xdr:row>38</xdr:row>
      <xdr:rowOff>0</xdr:rowOff>
    </xdr:from>
    <xdr:to>
      <xdr:col>12</xdr:col>
      <xdr:colOff>361950</xdr:colOff>
      <xdr:row>39</xdr:row>
      <xdr:rowOff>28575</xdr:rowOff>
    </xdr:to>
    <xdr:sp macro="" textlink="">
      <xdr:nvSpPr>
        <xdr:cNvPr id="2071287" name="Text Box 198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352425</xdr:colOff>
      <xdr:row>38</xdr:row>
      <xdr:rowOff>0</xdr:rowOff>
    </xdr:from>
    <xdr:to>
      <xdr:col>12</xdr:col>
      <xdr:colOff>361950</xdr:colOff>
      <xdr:row>39</xdr:row>
      <xdr:rowOff>28575</xdr:rowOff>
    </xdr:to>
    <xdr:sp macro="" textlink="">
      <xdr:nvSpPr>
        <xdr:cNvPr id="2071288" name="Text Box 199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352425</xdr:colOff>
      <xdr:row>38</xdr:row>
      <xdr:rowOff>0</xdr:rowOff>
    </xdr:from>
    <xdr:to>
      <xdr:col>12</xdr:col>
      <xdr:colOff>361950</xdr:colOff>
      <xdr:row>39</xdr:row>
      <xdr:rowOff>28575</xdr:rowOff>
    </xdr:to>
    <xdr:sp macro="" textlink="">
      <xdr:nvSpPr>
        <xdr:cNvPr id="2071289" name="Text Box 200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352425</xdr:colOff>
      <xdr:row>38</xdr:row>
      <xdr:rowOff>0</xdr:rowOff>
    </xdr:from>
    <xdr:to>
      <xdr:col>12</xdr:col>
      <xdr:colOff>361950</xdr:colOff>
      <xdr:row>39</xdr:row>
      <xdr:rowOff>28575</xdr:rowOff>
    </xdr:to>
    <xdr:sp macro="" textlink="">
      <xdr:nvSpPr>
        <xdr:cNvPr id="2071290" name="Text Box 20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352425</xdr:colOff>
      <xdr:row>38</xdr:row>
      <xdr:rowOff>0</xdr:rowOff>
    </xdr:from>
    <xdr:to>
      <xdr:col>12</xdr:col>
      <xdr:colOff>361950</xdr:colOff>
      <xdr:row>39</xdr:row>
      <xdr:rowOff>28575</xdr:rowOff>
    </xdr:to>
    <xdr:sp macro="" textlink="">
      <xdr:nvSpPr>
        <xdr:cNvPr id="2071291" name="Text Box 202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352425</xdr:colOff>
      <xdr:row>38</xdr:row>
      <xdr:rowOff>0</xdr:rowOff>
    </xdr:from>
    <xdr:to>
      <xdr:col>12</xdr:col>
      <xdr:colOff>361950</xdr:colOff>
      <xdr:row>39</xdr:row>
      <xdr:rowOff>28575</xdr:rowOff>
    </xdr:to>
    <xdr:sp macro="" textlink="">
      <xdr:nvSpPr>
        <xdr:cNvPr id="2071292" name="Text Box 203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352425</xdr:colOff>
      <xdr:row>38</xdr:row>
      <xdr:rowOff>0</xdr:rowOff>
    </xdr:from>
    <xdr:to>
      <xdr:col>12</xdr:col>
      <xdr:colOff>361950</xdr:colOff>
      <xdr:row>39</xdr:row>
      <xdr:rowOff>28575</xdr:rowOff>
    </xdr:to>
    <xdr:sp macro="" textlink="">
      <xdr:nvSpPr>
        <xdr:cNvPr id="2071293" name="Text Box 204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352425</xdr:colOff>
      <xdr:row>38</xdr:row>
      <xdr:rowOff>0</xdr:rowOff>
    </xdr:from>
    <xdr:to>
      <xdr:col>12</xdr:col>
      <xdr:colOff>361950</xdr:colOff>
      <xdr:row>39</xdr:row>
      <xdr:rowOff>28575</xdr:rowOff>
    </xdr:to>
    <xdr:sp macro="" textlink="">
      <xdr:nvSpPr>
        <xdr:cNvPr id="2071294" name="Text Box 260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352425</xdr:colOff>
      <xdr:row>38</xdr:row>
      <xdr:rowOff>0</xdr:rowOff>
    </xdr:from>
    <xdr:to>
      <xdr:col>12</xdr:col>
      <xdr:colOff>361950</xdr:colOff>
      <xdr:row>39</xdr:row>
      <xdr:rowOff>28575</xdr:rowOff>
    </xdr:to>
    <xdr:sp macro="" textlink="">
      <xdr:nvSpPr>
        <xdr:cNvPr id="2071295" name="Text Box 26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352425</xdr:colOff>
      <xdr:row>38</xdr:row>
      <xdr:rowOff>0</xdr:rowOff>
    </xdr:from>
    <xdr:to>
      <xdr:col>12</xdr:col>
      <xdr:colOff>361950</xdr:colOff>
      <xdr:row>39</xdr:row>
      <xdr:rowOff>28575</xdr:rowOff>
    </xdr:to>
    <xdr:sp macro="" textlink="">
      <xdr:nvSpPr>
        <xdr:cNvPr id="2071296" name="Text Box 97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352425</xdr:colOff>
      <xdr:row>38</xdr:row>
      <xdr:rowOff>0</xdr:rowOff>
    </xdr:from>
    <xdr:to>
      <xdr:col>12</xdr:col>
      <xdr:colOff>361950</xdr:colOff>
      <xdr:row>39</xdr:row>
      <xdr:rowOff>28575</xdr:rowOff>
    </xdr:to>
    <xdr:sp macro="" textlink="">
      <xdr:nvSpPr>
        <xdr:cNvPr id="2071297" name="Text Box 972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352425</xdr:colOff>
      <xdr:row>38</xdr:row>
      <xdr:rowOff>0</xdr:rowOff>
    </xdr:from>
    <xdr:to>
      <xdr:col>12</xdr:col>
      <xdr:colOff>361950</xdr:colOff>
      <xdr:row>39</xdr:row>
      <xdr:rowOff>28575</xdr:rowOff>
    </xdr:to>
    <xdr:sp macro="" textlink="">
      <xdr:nvSpPr>
        <xdr:cNvPr id="2071298" name="Text Box 973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352425</xdr:colOff>
      <xdr:row>38</xdr:row>
      <xdr:rowOff>0</xdr:rowOff>
    </xdr:from>
    <xdr:to>
      <xdr:col>12</xdr:col>
      <xdr:colOff>361950</xdr:colOff>
      <xdr:row>39</xdr:row>
      <xdr:rowOff>28575</xdr:rowOff>
    </xdr:to>
    <xdr:sp macro="" textlink="">
      <xdr:nvSpPr>
        <xdr:cNvPr id="2071299" name="Text Box 974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295275</xdr:colOff>
      <xdr:row>38</xdr:row>
      <xdr:rowOff>0</xdr:rowOff>
    </xdr:from>
    <xdr:to>
      <xdr:col>12</xdr:col>
      <xdr:colOff>400050</xdr:colOff>
      <xdr:row>39</xdr:row>
      <xdr:rowOff>28575</xdr:rowOff>
    </xdr:to>
    <xdr:sp macro="" textlink="">
      <xdr:nvSpPr>
        <xdr:cNvPr id="2071300" name="Text Box 168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295275</xdr:colOff>
      <xdr:row>38</xdr:row>
      <xdr:rowOff>0</xdr:rowOff>
    </xdr:from>
    <xdr:to>
      <xdr:col>12</xdr:col>
      <xdr:colOff>400050</xdr:colOff>
      <xdr:row>39</xdr:row>
      <xdr:rowOff>28575</xdr:rowOff>
    </xdr:to>
    <xdr:sp macro="" textlink="">
      <xdr:nvSpPr>
        <xdr:cNvPr id="2071301" name="Text Box 169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295275</xdr:colOff>
      <xdr:row>38</xdr:row>
      <xdr:rowOff>0</xdr:rowOff>
    </xdr:from>
    <xdr:to>
      <xdr:col>12</xdr:col>
      <xdr:colOff>400050</xdr:colOff>
      <xdr:row>39</xdr:row>
      <xdr:rowOff>28575</xdr:rowOff>
    </xdr:to>
    <xdr:sp macro="" textlink="">
      <xdr:nvSpPr>
        <xdr:cNvPr id="2071302" name="Text Box 170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295275</xdr:colOff>
      <xdr:row>38</xdr:row>
      <xdr:rowOff>0</xdr:rowOff>
    </xdr:from>
    <xdr:to>
      <xdr:col>12</xdr:col>
      <xdr:colOff>400050</xdr:colOff>
      <xdr:row>39</xdr:row>
      <xdr:rowOff>28575</xdr:rowOff>
    </xdr:to>
    <xdr:sp macro="" textlink="">
      <xdr:nvSpPr>
        <xdr:cNvPr id="2071303" name="Text Box 17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295275</xdr:colOff>
      <xdr:row>38</xdr:row>
      <xdr:rowOff>0</xdr:rowOff>
    </xdr:from>
    <xdr:to>
      <xdr:col>12</xdr:col>
      <xdr:colOff>400050</xdr:colOff>
      <xdr:row>39</xdr:row>
      <xdr:rowOff>28575</xdr:rowOff>
    </xdr:to>
    <xdr:sp macro="" textlink="">
      <xdr:nvSpPr>
        <xdr:cNvPr id="2071304" name="Text Box 172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295275</xdr:colOff>
      <xdr:row>38</xdr:row>
      <xdr:rowOff>0</xdr:rowOff>
    </xdr:from>
    <xdr:to>
      <xdr:col>12</xdr:col>
      <xdr:colOff>400050</xdr:colOff>
      <xdr:row>39</xdr:row>
      <xdr:rowOff>28575</xdr:rowOff>
    </xdr:to>
    <xdr:sp macro="" textlink="">
      <xdr:nvSpPr>
        <xdr:cNvPr id="2071305" name="Text Box 173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295275</xdr:colOff>
      <xdr:row>38</xdr:row>
      <xdr:rowOff>0</xdr:rowOff>
    </xdr:from>
    <xdr:to>
      <xdr:col>12</xdr:col>
      <xdr:colOff>400050</xdr:colOff>
      <xdr:row>39</xdr:row>
      <xdr:rowOff>28575</xdr:rowOff>
    </xdr:to>
    <xdr:sp macro="" textlink="">
      <xdr:nvSpPr>
        <xdr:cNvPr id="2071306" name="Text Box 174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295275</xdr:colOff>
      <xdr:row>38</xdr:row>
      <xdr:rowOff>0</xdr:rowOff>
    </xdr:from>
    <xdr:to>
      <xdr:col>12</xdr:col>
      <xdr:colOff>400050</xdr:colOff>
      <xdr:row>39</xdr:row>
      <xdr:rowOff>28575</xdr:rowOff>
    </xdr:to>
    <xdr:sp macro="" textlink="">
      <xdr:nvSpPr>
        <xdr:cNvPr id="2071307" name="Text Box 175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295275</xdr:colOff>
      <xdr:row>38</xdr:row>
      <xdr:rowOff>0</xdr:rowOff>
    </xdr:from>
    <xdr:to>
      <xdr:col>12</xdr:col>
      <xdr:colOff>400050</xdr:colOff>
      <xdr:row>39</xdr:row>
      <xdr:rowOff>28575</xdr:rowOff>
    </xdr:to>
    <xdr:sp macro="" textlink="">
      <xdr:nvSpPr>
        <xdr:cNvPr id="2071308" name="Text Box 198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295275</xdr:colOff>
      <xdr:row>38</xdr:row>
      <xdr:rowOff>0</xdr:rowOff>
    </xdr:from>
    <xdr:to>
      <xdr:col>12</xdr:col>
      <xdr:colOff>400050</xdr:colOff>
      <xdr:row>39</xdr:row>
      <xdr:rowOff>28575</xdr:rowOff>
    </xdr:to>
    <xdr:sp macro="" textlink="">
      <xdr:nvSpPr>
        <xdr:cNvPr id="2071309" name="Text Box 199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295275</xdr:colOff>
      <xdr:row>38</xdr:row>
      <xdr:rowOff>0</xdr:rowOff>
    </xdr:from>
    <xdr:to>
      <xdr:col>12</xdr:col>
      <xdr:colOff>400050</xdr:colOff>
      <xdr:row>39</xdr:row>
      <xdr:rowOff>28575</xdr:rowOff>
    </xdr:to>
    <xdr:sp macro="" textlink="">
      <xdr:nvSpPr>
        <xdr:cNvPr id="2071310" name="Text Box 200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295275</xdr:colOff>
      <xdr:row>38</xdr:row>
      <xdr:rowOff>0</xdr:rowOff>
    </xdr:from>
    <xdr:to>
      <xdr:col>12</xdr:col>
      <xdr:colOff>400050</xdr:colOff>
      <xdr:row>39</xdr:row>
      <xdr:rowOff>28575</xdr:rowOff>
    </xdr:to>
    <xdr:sp macro="" textlink="">
      <xdr:nvSpPr>
        <xdr:cNvPr id="2071311" name="Text Box 20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295275</xdr:colOff>
      <xdr:row>38</xdr:row>
      <xdr:rowOff>0</xdr:rowOff>
    </xdr:from>
    <xdr:to>
      <xdr:col>12</xdr:col>
      <xdr:colOff>400050</xdr:colOff>
      <xdr:row>39</xdr:row>
      <xdr:rowOff>28575</xdr:rowOff>
    </xdr:to>
    <xdr:sp macro="" textlink="">
      <xdr:nvSpPr>
        <xdr:cNvPr id="2071312" name="Text Box 202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295275</xdr:colOff>
      <xdr:row>38</xdr:row>
      <xdr:rowOff>0</xdr:rowOff>
    </xdr:from>
    <xdr:to>
      <xdr:col>12</xdr:col>
      <xdr:colOff>400050</xdr:colOff>
      <xdr:row>39</xdr:row>
      <xdr:rowOff>28575</xdr:rowOff>
    </xdr:to>
    <xdr:sp macro="" textlink="">
      <xdr:nvSpPr>
        <xdr:cNvPr id="2071313" name="Text Box 203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295275</xdr:colOff>
      <xdr:row>38</xdr:row>
      <xdr:rowOff>0</xdr:rowOff>
    </xdr:from>
    <xdr:to>
      <xdr:col>12</xdr:col>
      <xdr:colOff>400050</xdr:colOff>
      <xdr:row>39</xdr:row>
      <xdr:rowOff>28575</xdr:rowOff>
    </xdr:to>
    <xdr:sp macro="" textlink="">
      <xdr:nvSpPr>
        <xdr:cNvPr id="2071314" name="Text Box 204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295275</xdr:colOff>
      <xdr:row>38</xdr:row>
      <xdr:rowOff>0</xdr:rowOff>
    </xdr:from>
    <xdr:to>
      <xdr:col>12</xdr:col>
      <xdr:colOff>400050</xdr:colOff>
      <xdr:row>39</xdr:row>
      <xdr:rowOff>28575</xdr:rowOff>
    </xdr:to>
    <xdr:sp macro="" textlink="">
      <xdr:nvSpPr>
        <xdr:cNvPr id="2071315" name="Text Box 260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295275</xdr:colOff>
      <xdr:row>38</xdr:row>
      <xdr:rowOff>0</xdr:rowOff>
    </xdr:from>
    <xdr:to>
      <xdr:col>12</xdr:col>
      <xdr:colOff>400050</xdr:colOff>
      <xdr:row>39</xdr:row>
      <xdr:rowOff>28575</xdr:rowOff>
    </xdr:to>
    <xdr:sp macro="" textlink="">
      <xdr:nvSpPr>
        <xdr:cNvPr id="2071316" name="Text Box 26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295275</xdr:colOff>
      <xdr:row>38</xdr:row>
      <xdr:rowOff>0</xdr:rowOff>
    </xdr:from>
    <xdr:to>
      <xdr:col>12</xdr:col>
      <xdr:colOff>400050</xdr:colOff>
      <xdr:row>39</xdr:row>
      <xdr:rowOff>28575</xdr:rowOff>
    </xdr:to>
    <xdr:sp macro="" textlink="">
      <xdr:nvSpPr>
        <xdr:cNvPr id="2071317" name="Text Box 97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295275</xdr:colOff>
      <xdr:row>38</xdr:row>
      <xdr:rowOff>0</xdr:rowOff>
    </xdr:from>
    <xdr:to>
      <xdr:col>12</xdr:col>
      <xdr:colOff>400050</xdr:colOff>
      <xdr:row>39</xdr:row>
      <xdr:rowOff>28575</xdr:rowOff>
    </xdr:to>
    <xdr:sp macro="" textlink="">
      <xdr:nvSpPr>
        <xdr:cNvPr id="2071318" name="Text Box 972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295275</xdr:colOff>
      <xdr:row>38</xdr:row>
      <xdr:rowOff>0</xdr:rowOff>
    </xdr:from>
    <xdr:to>
      <xdr:col>12</xdr:col>
      <xdr:colOff>400050</xdr:colOff>
      <xdr:row>39</xdr:row>
      <xdr:rowOff>28575</xdr:rowOff>
    </xdr:to>
    <xdr:sp macro="" textlink="">
      <xdr:nvSpPr>
        <xdr:cNvPr id="2071319" name="Text Box 973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295275</xdr:colOff>
      <xdr:row>38</xdr:row>
      <xdr:rowOff>0</xdr:rowOff>
    </xdr:from>
    <xdr:to>
      <xdr:col>12</xdr:col>
      <xdr:colOff>400050</xdr:colOff>
      <xdr:row>39</xdr:row>
      <xdr:rowOff>28575</xdr:rowOff>
    </xdr:to>
    <xdr:sp macro="" textlink="">
      <xdr:nvSpPr>
        <xdr:cNvPr id="2071320" name="Text Box 974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352425</xdr:colOff>
      <xdr:row>38</xdr:row>
      <xdr:rowOff>0</xdr:rowOff>
    </xdr:from>
    <xdr:to>
      <xdr:col>13</xdr:col>
      <xdr:colOff>361950</xdr:colOff>
      <xdr:row>39</xdr:row>
      <xdr:rowOff>28575</xdr:rowOff>
    </xdr:to>
    <xdr:sp macro="" textlink="">
      <xdr:nvSpPr>
        <xdr:cNvPr id="2071321" name="Text Box 168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352425</xdr:colOff>
      <xdr:row>38</xdr:row>
      <xdr:rowOff>0</xdr:rowOff>
    </xdr:from>
    <xdr:to>
      <xdr:col>13</xdr:col>
      <xdr:colOff>361950</xdr:colOff>
      <xdr:row>39</xdr:row>
      <xdr:rowOff>28575</xdr:rowOff>
    </xdr:to>
    <xdr:sp macro="" textlink="">
      <xdr:nvSpPr>
        <xdr:cNvPr id="2071322" name="Text Box 169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352425</xdr:colOff>
      <xdr:row>38</xdr:row>
      <xdr:rowOff>0</xdr:rowOff>
    </xdr:from>
    <xdr:to>
      <xdr:col>13</xdr:col>
      <xdr:colOff>361950</xdr:colOff>
      <xdr:row>39</xdr:row>
      <xdr:rowOff>28575</xdr:rowOff>
    </xdr:to>
    <xdr:sp macro="" textlink="">
      <xdr:nvSpPr>
        <xdr:cNvPr id="2071323" name="Text Box 170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352425</xdr:colOff>
      <xdr:row>38</xdr:row>
      <xdr:rowOff>0</xdr:rowOff>
    </xdr:from>
    <xdr:to>
      <xdr:col>13</xdr:col>
      <xdr:colOff>361950</xdr:colOff>
      <xdr:row>39</xdr:row>
      <xdr:rowOff>28575</xdr:rowOff>
    </xdr:to>
    <xdr:sp macro="" textlink="">
      <xdr:nvSpPr>
        <xdr:cNvPr id="2071324" name="Text Box 17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352425</xdr:colOff>
      <xdr:row>38</xdr:row>
      <xdr:rowOff>0</xdr:rowOff>
    </xdr:from>
    <xdr:to>
      <xdr:col>13</xdr:col>
      <xdr:colOff>361950</xdr:colOff>
      <xdr:row>39</xdr:row>
      <xdr:rowOff>28575</xdr:rowOff>
    </xdr:to>
    <xdr:sp macro="" textlink="">
      <xdr:nvSpPr>
        <xdr:cNvPr id="2071325" name="Text Box 172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352425</xdr:colOff>
      <xdr:row>38</xdr:row>
      <xdr:rowOff>0</xdr:rowOff>
    </xdr:from>
    <xdr:to>
      <xdr:col>13</xdr:col>
      <xdr:colOff>361950</xdr:colOff>
      <xdr:row>39</xdr:row>
      <xdr:rowOff>28575</xdr:rowOff>
    </xdr:to>
    <xdr:sp macro="" textlink="">
      <xdr:nvSpPr>
        <xdr:cNvPr id="2071326" name="Text Box 173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352425</xdr:colOff>
      <xdr:row>38</xdr:row>
      <xdr:rowOff>0</xdr:rowOff>
    </xdr:from>
    <xdr:to>
      <xdr:col>13</xdr:col>
      <xdr:colOff>361950</xdr:colOff>
      <xdr:row>39</xdr:row>
      <xdr:rowOff>28575</xdr:rowOff>
    </xdr:to>
    <xdr:sp macro="" textlink="">
      <xdr:nvSpPr>
        <xdr:cNvPr id="2071327" name="Text Box 174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352425</xdr:colOff>
      <xdr:row>38</xdr:row>
      <xdr:rowOff>0</xdr:rowOff>
    </xdr:from>
    <xdr:to>
      <xdr:col>13</xdr:col>
      <xdr:colOff>361950</xdr:colOff>
      <xdr:row>39</xdr:row>
      <xdr:rowOff>28575</xdr:rowOff>
    </xdr:to>
    <xdr:sp macro="" textlink="">
      <xdr:nvSpPr>
        <xdr:cNvPr id="2071328" name="Text Box 175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352425</xdr:colOff>
      <xdr:row>38</xdr:row>
      <xdr:rowOff>0</xdr:rowOff>
    </xdr:from>
    <xdr:to>
      <xdr:col>13</xdr:col>
      <xdr:colOff>361950</xdr:colOff>
      <xdr:row>39</xdr:row>
      <xdr:rowOff>28575</xdr:rowOff>
    </xdr:to>
    <xdr:sp macro="" textlink="">
      <xdr:nvSpPr>
        <xdr:cNvPr id="2071329" name="Text Box 198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352425</xdr:colOff>
      <xdr:row>38</xdr:row>
      <xdr:rowOff>0</xdr:rowOff>
    </xdr:from>
    <xdr:to>
      <xdr:col>13</xdr:col>
      <xdr:colOff>361950</xdr:colOff>
      <xdr:row>39</xdr:row>
      <xdr:rowOff>28575</xdr:rowOff>
    </xdr:to>
    <xdr:sp macro="" textlink="">
      <xdr:nvSpPr>
        <xdr:cNvPr id="2071330" name="Text Box 199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352425</xdr:colOff>
      <xdr:row>38</xdr:row>
      <xdr:rowOff>0</xdr:rowOff>
    </xdr:from>
    <xdr:to>
      <xdr:col>13</xdr:col>
      <xdr:colOff>361950</xdr:colOff>
      <xdr:row>39</xdr:row>
      <xdr:rowOff>28575</xdr:rowOff>
    </xdr:to>
    <xdr:sp macro="" textlink="">
      <xdr:nvSpPr>
        <xdr:cNvPr id="2071331" name="Text Box 200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352425</xdr:colOff>
      <xdr:row>38</xdr:row>
      <xdr:rowOff>0</xdr:rowOff>
    </xdr:from>
    <xdr:to>
      <xdr:col>13</xdr:col>
      <xdr:colOff>361950</xdr:colOff>
      <xdr:row>39</xdr:row>
      <xdr:rowOff>28575</xdr:rowOff>
    </xdr:to>
    <xdr:sp macro="" textlink="">
      <xdr:nvSpPr>
        <xdr:cNvPr id="2071332" name="Text Box 20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352425</xdr:colOff>
      <xdr:row>38</xdr:row>
      <xdr:rowOff>0</xdr:rowOff>
    </xdr:from>
    <xdr:to>
      <xdr:col>13</xdr:col>
      <xdr:colOff>361950</xdr:colOff>
      <xdr:row>39</xdr:row>
      <xdr:rowOff>28575</xdr:rowOff>
    </xdr:to>
    <xdr:sp macro="" textlink="">
      <xdr:nvSpPr>
        <xdr:cNvPr id="2071333" name="Text Box 202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352425</xdr:colOff>
      <xdr:row>38</xdr:row>
      <xdr:rowOff>0</xdr:rowOff>
    </xdr:from>
    <xdr:to>
      <xdr:col>13</xdr:col>
      <xdr:colOff>361950</xdr:colOff>
      <xdr:row>39</xdr:row>
      <xdr:rowOff>28575</xdr:rowOff>
    </xdr:to>
    <xdr:sp macro="" textlink="">
      <xdr:nvSpPr>
        <xdr:cNvPr id="2071334" name="Text Box 203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352425</xdr:colOff>
      <xdr:row>38</xdr:row>
      <xdr:rowOff>0</xdr:rowOff>
    </xdr:from>
    <xdr:to>
      <xdr:col>13</xdr:col>
      <xdr:colOff>361950</xdr:colOff>
      <xdr:row>39</xdr:row>
      <xdr:rowOff>28575</xdr:rowOff>
    </xdr:to>
    <xdr:sp macro="" textlink="">
      <xdr:nvSpPr>
        <xdr:cNvPr id="2071335" name="Text Box 204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352425</xdr:colOff>
      <xdr:row>38</xdr:row>
      <xdr:rowOff>0</xdr:rowOff>
    </xdr:from>
    <xdr:to>
      <xdr:col>13</xdr:col>
      <xdr:colOff>361950</xdr:colOff>
      <xdr:row>39</xdr:row>
      <xdr:rowOff>28575</xdr:rowOff>
    </xdr:to>
    <xdr:sp macro="" textlink="">
      <xdr:nvSpPr>
        <xdr:cNvPr id="2071336" name="Text Box 260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352425</xdr:colOff>
      <xdr:row>38</xdr:row>
      <xdr:rowOff>0</xdr:rowOff>
    </xdr:from>
    <xdr:to>
      <xdr:col>13</xdr:col>
      <xdr:colOff>361950</xdr:colOff>
      <xdr:row>39</xdr:row>
      <xdr:rowOff>28575</xdr:rowOff>
    </xdr:to>
    <xdr:sp macro="" textlink="">
      <xdr:nvSpPr>
        <xdr:cNvPr id="2071337" name="Text Box 26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352425</xdr:colOff>
      <xdr:row>38</xdr:row>
      <xdr:rowOff>0</xdr:rowOff>
    </xdr:from>
    <xdr:to>
      <xdr:col>13</xdr:col>
      <xdr:colOff>361950</xdr:colOff>
      <xdr:row>39</xdr:row>
      <xdr:rowOff>28575</xdr:rowOff>
    </xdr:to>
    <xdr:sp macro="" textlink="">
      <xdr:nvSpPr>
        <xdr:cNvPr id="2071338" name="Text Box 97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352425</xdr:colOff>
      <xdr:row>38</xdr:row>
      <xdr:rowOff>0</xdr:rowOff>
    </xdr:from>
    <xdr:to>
      <xdr:col>13</xdr:col>
      <xdr:colOff>361950</xdr:colOff>
      <xdr:row>39</xdr:row>
      <xdr:rowOff>28575</xdr:rowOff>
    </xdr:to>
    <xdr:sp macro="" textlink="">
      <xdr:nvSpPr>
        <xdr:cNvPr id="2071339" name="Text Box 972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352425</xdr:colOff>
      <xdr:row>38</xdr:row>
      <xdr:rowOff>0</xdr:rowOff>
    </xdr:from>
    <xdr:to>
      <xdr:col>13</xdr:col>
      <xdr:colOff>361950</xdr:colOff>
      <xdr:row>39</xdr:row>
      <xdr:rowOff>28575</xdr:rowOff>
    </xdr:to>
    <xdr:sp macro="" textlink="">
      <xdr:nvSpPr>
        <xdr:cNvPr id="2071340" name="Text Box 973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352425</xdr:colOff>
      <xdr:row>38</xdr:row>
      <xdr:rowOff>0</xdr:rowOff>
    </xdr:from>
    <xdr:to>
      <xdr:col>13</xdr:col>
      <xdr:colOff>361950</xdr:colOff>
      <xdr:row>39</xdr:row>
      <xdr:rowOff>28575</xdr:rowOff>
    </xdr:to>
    <xdr:sp macro="" textlink="">
      <xdr:nvSpPr>
        <xdr:cNvPr id="2071341" name="Text Box 974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295275</xdr:colOff>
      <xdr:row>38</xdr:row>
      <xdr:rowOff>0</xdr:rowOff>
    </xdr:from>
    <xdr:to>
      <xdr:col>13</xdr:col>
      <xdr:colOff>400050</xdr:colOff>
      <xdr:row>39</xdr:row>
      <xdr:rowOff>28575</xdr:rowOff>
    </xdr:to>
    <xdr:sp macro="" textlink="">
      <xdr:nvSpPr>
        <xdr:cNvPr id="2071342" name="Text Box 168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295275</xdr:colOff>
      <xdr:row>38</xdr:row>
      <xdr:rowOff>0</xdr:rowOff>
    </xdr:from>
    <xdr:to>
      <xdr:col>13</xdr:col>
      <xdr:colOff>400050</xdr:colOff>
      <xdr:row>39</xdr:row>
      <xdr:rowOff>28575</xdr:rowOff>
    </xdr:to>
    <xdr:sp macro="" textlink="">
      <xdr:nvSpPr>
        <xdr:cNvPr id="2071343" name="Text Box 169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295275</xdr:colOff>
      <xdr:row>38</xdr:row>
      <xdr:rowOff>0</xdr:rowOff>
    </xdr:from>
    <xdr:to>
      <xdr:col>13</xdr:col>
      <xdr:colOff>400050</xdr:colOff>
      <xdr:row>39</xdr:row>
      <xdr:rowOff>28575</xdr:rowOff>
    </xdr:to>
    <xdr:sp macro="" textlink="">
      <xdr:nvSpPr>
        <xdr:cNvPr id="2071344" name="Text Box 170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295275</xdr:colOff>
      <xdr:row>38</xdr:row>
      <xdr:rowOff>0</xdr:rowOff>
    </xdr:from>
    <xdr:to>
      <xdr:col>13</xdr:col>
      <xdr:colOff>400050</xdr:colOff>
      <xdr:row>39</xdr:row>
      <xdr:rowOff>28575</xdr:rowOff>
    </xdr:to>
    <xdr:sp macro="" textlink="">
      <xdr:nvSpPr>
        <xdr:cNvPr id="2071345" name="Text Box 17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295275</xdr:colOff>
      <xdr:row>38</xdr:row>
      <xdr:rowOff>0</xdr:rowOff>
    </xdr:from>
    <xdr:to>
      <xdr:col>13</xdr:col>
      <xdr:colOff>400050</xdr:colOff>
      <xdr:row>39</xdr:row>
      <xdr:rowOff>28575</xdr:rowOff>
    </xdr:to>
    <xdr:sp macro="" textlink="">
      <xdr:nvSpPr>
        <xdr:cNvPr id="2071346" name="Text Box 172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295275</xdr:colOff>
      <xdr:row>38</xdr:row>
      <xdr:rowOff>0</xdr:rowOff>
    </xdr:from>
    <xdr:to>
      <xdr:col>13</xdr:col>
      <xdr:colOff>400050</xdr:colOff>
      <xdr:row>39</xdr:row>
      <xdr:rowOff>28575</xdr:rowOff>
    </xdr:to>
    <xdr:sp macro="" textlink="">
      <xdr:nvSpPr>
        <xdr:cNvPr id="2071347" name="Text Box 173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295275</xdr:colOff>
      <xdr:row>38</xdr:row>
      <xdr:rowOff>0</xdr:rowOff>
    </xdr:from>
    <xdr:to>
      <xdr:col>13</xdr:col>
      <xdr:colOff>400050</xdr:colOff>
      <xdr:row>39</xdr:row>
      <xdr:rowOff>28575</xdr:rowOff>
    </xdr:to>
    <xdr:sp macro="" textlink="">
      <xdr:nvSpPr>
        <xdr:cNvPr id="2071348" name="Text Box 174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295275</xdr:colOff>
      <xdr:row>38</xdr:row>
      <xdr:rowOff>0</xdr:rowOff>
    </xdr:from>
    <xdr:to>
      <xdr:col>13</xdr:col>
      <xdr:colOff>400050</xdr:colOff>
      <xdr:row>39</xdr:row>
      <xdr:rowOff>28575</xdr:rowOff>
    </xdr:to>
    <xdr:sp macro="" textlink="">
      <xdr:nvSpPr>
        <xdr:cNvPr id="2071349" name="Text Box 175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295275</xdr:colOff>
      <xdr:row>38</xdr:row>
      <xdr:rowOff>0</xdr:rowOff>
    </xdr:from>
    <xdr:to>
      <xdr:col>13</xdr:col>
      <xdr:colOff>400050</xdr:colOff>
      <xdr:row>39</xdr:row>
      <xdr:rowOff>28575</xdr:rowOff>
    </xdr:to>
    <xdr:sp macro="" textlink="">
      <xdr:nvSpPr>
        <xdr:cNvPr id="2071350" name="Text Box 198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295275</xdr:colOff>
      <xdr:row>38</xdr:row>
      <xdr:rowOff>0</xdr:rowOff>
    </xdr:from>
    <xdr:to>
      <xdr:col>13</xdr:col>
      <xdr:colOff>400050</xdr:colOff>
      <xdr:row>39</xdr:row>
      <xdr:rowOff>28575</xdr:rowOff>
    </xdr:to>
    <xdr:sp macro="" textlink="">
      <xdr:nvSpPr>
        <xdr:cNvPr id="2071351" name="Text Box 199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295275</xdr:colOff>
      <xdr:row>38</xdr:row>
      <xdr:rowOff>0</xdr:rowOff>
    </xdr:from>
    <xdr:to>
      <xdr:col>13</xdr:col>
      <xdr:colOff>400050</xdr:colOff>
      <xdr:row>39</xdr:row>
      <xdr:rowOff>28575</xdr:rowOff>
    </xdr:to>
    <xdr:sp macro="" textlink="">
      <xdr:nvSpPr>
        <xdr:cNvPr id="2071352" name="Text Box 200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295275</xdr:colOff>
      <xdr:row>38</xdr:row>
      <xdr:rowOff>0</xdr:rowOff>
    </xdr:from>
    <xdr:to>
      <xdr:col>13</xdr:col>
      <xdr:colOff>400050</xdr:colOff>
      <xdr:row>39</xdr:row>
      <xdr:rowOff>28575</xdr:rowOff>
    </xdr:to>
    <xdr:sp macro="" textlink="">
      <xdr:nvSpPr>
        <xdr:cNvPr id="2071353" name="Text Box 20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295275</xdr:colOff>
      <xdr:row>38</xdr:row>
      <xdr:rowOff>0</xdr:rowOff>
    </xdr:from>
    <xdr:to>
      <xdr:col>13</xdr:col>
      <xdr:colOff>400050</xdr:colOff>
      <xdr:row>39</xdr:row>
      <xdr:rowOff>28575</xdr:rowOff>
    </xdr:to>
    <xdr:sp macro="" textlink="">
      <xdr:nvSpPr>
        <xdr:cNvPr id="2071354" name="Text Box 202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295275</xdr:colOff>
      <xdr:row>38</xdr:row>
      <xdr:rowOff>0</xdr:rowOff>
    </xdr:from>
    <xdr:to>
      <xdr:col>13</xdr:col>
      <xdr:colOff>400050</xdr:colOff>
      <xdr:row>39</xdr:row>
      <xdr:rowOff>28575</xdr:rowOff>
    </xdr:to>
    <xdr:sp macro="" textlink="">
      <xdr:nvSpPr>
        <xdr:cNvPr id="2071355" name="Text Box 203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295275</xdr:colOff>
      <xdr:row>38</xdr:row>
      <xdr:rowOff>0</xdr:rowOff>
    </xdr:from>
    <xdr:to>
      <xdr:col>13</xdr:col>
      <xdr:colOff>400050</xdr:colOff>
      <xdr:row>39</xdr:row>
      <xdr:rowOff>28575</xdr:rowOff>
    </xdr:to>
    <xdr:sp macro="" textlink="">
      <xdr:nvSpPr>
        <xdr:cNvPr id="2071356" name="Text Box 204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295275</xdr:colOff>
      <xdr:row>38</xdr:row>
      <xdr:rowOff>0</xdr:rowOff>
    </xdr:from>
    <xdr:to>
      <xdr:col>13</xdr:col>
      <xdr:colOff>400050</xdr:colOff>
      <xdr:row>39</xdr:row>
      <xdr:rowOff>28575</xdr:rowOff>
    </xdr:to>
    <xdr:sp macro="" textlink="">
      <xdr:nvSpPr>
        <xdr:cNvPr id="2071357" name="Text Box 260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295275</xdr:colOff>
      <xdr:row>38</xdr:row>
      <xdr:rowOff>0</xdr:rowOff>
    </xdr:from>
    <xdr:to>
      <xdr:col>13</xdr:col>
      <xdr:colOff>400050</xdr:colOff>
      <xdr:row>39</xdr:row>
      <xdr:rowOff>28575</xdr:rowOff>
    </xdr:to>
    <xdr:sp macro="" textlink="">
      <xdr:nvSpPr>
        <xdr:cNvPr id="2071358" name="Text Box 26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295275</xdr:colOff>
      <xdr:row>38</xdr:row>
      <xdr:rowOff>0</xdr:rowOff>
    </xdr:from>
    <xdr:to>
      <xdr:col>13</xdr:col>
      <xdr:colOff>400050</xdr:colOff>
      <xdr:row>39</xdr:row>
      <xdr:rowOff>28575</xdr:rowOff>
    </xdr:to>
    <xdr:sp macro="" textlink="">
      <xdr:nvSpPr>
        <xdr:cNvPr id="2071359" name="Text Box 97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295275</xdr:colOff>
      <xdr:row>38</xdr:row>
      <xdr:rowOff>0</xdr:rowOff>
    </xdr:from>
    <xdr:to>
      <xdr:col>13</xdr:col>
      <xdr:colOff>400050</xdr:colOff>
      <xdr:row>39</xdr:row>
      <xdr:rowOff>28575</xdr:rowOff>
    </xdr:to>
    <xdr:sp macro="" textlink="">
      <xdr:nvSpPr>
        <xdr:cNvPr id="2071360" name="Text Box 972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295275</xdr:colOff>
      <xdr:row>38</xdr:row>
      <xdr:rowOff>0</xdr:rowOff>
    </xdr:from>
    <xdr:to>
      <xdr:col>13</xdr:col>
      <xdr:colOff>400050</xdr:colOff>
      <xdr:row>39</xdr:row>
      <xdr:rowOff>28575</xdr:rowOff>
    </xdr:to>
    <xdr:sp macro="" textlink="">
      <xdr:nvSpPr>
        <xdr:cNvPr id="2071361" name="Text Box 973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295275</xdr:colOff>
      <xdr:row>38</xdr:row>
      <xdr:rowOff>0</xdr:rowOff>
    </xdr:from>
    <xdr:to>
      <xdr:col>13</xdr:col>
      <xdr:colOff>400050</xdr:colOff>
      <xdr:row>39</xdr:row>
      <xdr:rowOff>28575</xdr:rowOff>
    </xdr:to>
    <xdr:sp macro="" textlink="">
      <xdr:nvSpPr>
        <xdr:cNvPr id="2071362" name="Text Box 974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352425</xdr:colOff>
      <xdr:row>38</xdr:row>
      <xdr:rowOff>0</xdr:rowOff>
    </xdr:from>
    <xdr:to>
      <xdr:col>14</xdr:col>
      <xdr:colOff>361950</xdr:colOff>
      <xdr:row>39</xdr:row>
      <xdr:rowOff>28575</xdr:rowOff>
    </xdr:to>
    <xdr:sp macro="" textlink="">
      <xdr:nvSpPr>
        <xdr:cNvPr id="2071363" name="Text Box 168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352425</xdr:colOff>
      <xdr:row>38</xdr:row>
      <xdr:rowOff>0</xdr:rowOff>
    </xdr:from>
    <xdr:to>
      <xdr:col>14</xdr:col>
      <xdr:colOff>361950</xdr:colOff>
      <xdr:row>39</xdr:row>
      <xdr:rowOff>28575</xdr:rowOff>
    </xdr:to>
    <xdr:sp macro="" textlink="">
      <xdr:nvSpPr>
        <xdr:cNvPr id="2071364" name="Text Box 169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352425</xdr:colOff>
      <xdr:row>38</xdr:row>
      <xdr:rowOff>0</xdr:rowOff>
    </xdr:from>
    <xdr:to>
      <xdr:col>14</xdr:col>
      <xdr:colOff>361950</xdr:colOff>
      <xdr:row>39</xdr:row>
      <xdr:rowOff>28575</xdr:rowOff>
    </xdr:to>
    <xdr:sp macro="" textlink="">
      <xdr:nvSpPr>
        <xdr:cNvPr id="2071365" name="Text Box 170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352425</xdr:colOff>
      <xdr:row>38</xdr:row>
      <xdr:rowOff>0</xdr:rowOff>
    </xdr:from>
    <xdr:to>
      <xdr:col>14</xdr:col>
      <xdr:colOff>361950</xdr:colOff>
      <xdr:row>39</xdr:row>
      <xdr:rowOff>28575</xdr:rowOff>
    </xdr:to>
    <xdr:sp macro="" textlink="">
      <xdr:nvSpPr>
        <xdr:cNvPr id="2071366" name="Text Box 17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352425</xdr:colOff>
      <xdr:row>38</xdr:row>
      <xdr:rowOff>0</xdr:rowOff>
    </xdr:from>
    <xdr:to>
      <xdr:col>14</xdr:col>
      <xdr:colOff>361950</xdr:colOff>
      <xdr:row>39</xdr:row>
      <xdr:rowOff>28575</xdr:rowOff>
    </xdr:to>
    <xdr:sp macro="" textlink="">
      <xdr:nvSpPr>
        <xdr:cNvPr id="2071367" name="Text Box 172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352425</xdr:colOff>
      <xdr:row>38</xdr:row>
      <xdr:rowOff>0</xdr:rowOff>
    </xdr:from>
    <xdr:to>
      <xdr:col>14</xdr:col>
      <xdr:colOff>361950</xdr:colOff>
      <xdr:row>39</xdr:row>
      <xdr:rowOff>28575</xdr:rowOff>
    </xdr:to>
    <xdr:sp macro="" textlink="">
      <xdr:nvSpPr>
        <xdr:cNvPr id="2071368" name="Text Box 173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352425</xdr:colOff>
      <xdr:row>38</xdr:row>
      <xdr:rowOff>0</xdr:rowOff>
    </xdr:from>
    <xdr:to>
      <xdr:col>14</xdr:col>
      <xdr:colOff>361950</xdr:colOff>
      <xdr:row>39</xdr:row>
      <xdr:rowOff>28575</xdr:rowOff>
    </xdr:to>
    <xdr:sp macro="" textlink="">
      <xdr:nvSpPr>
        <xdr:cNvPr id="2071369" name="Text Box 174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352425</xdr:colOff>
      <xdr:row>38</xdr:row>
      <xdr:rowOff>0</xdr:rowOff>
    </xdr:from>
    <xdr:to>
      <xdr:col>14</xdr:col>
      <xdr:colOff>361950</xdr:colOff>
      <xdr:row>39</xdr:row>
      <xdr:rowOff>28575</xdr:rowOff>
    </xdr:to>
    <xdr:sp macro="" textlink="">
      <xdr:nvSpPr>
        <xdr:cNvPr id="2071370" name="Text Box 175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352425</xdr:colOff>
      <xdr:row>38</xdr:row>
      <xdr:rowOff>0</xdr:rowOff>
    </xdr:from>
    <xdr:to>
      <xdr:col>14</xdr:col>
      <xdr:colOff>361950</xdr:colOff>
      <xdr:row>39</xdr:row>
      <xdr:rowOff>28575</xdr:rowOff>
    </xdr:to>
    <xdr:sp macro="" textlink="">
      <xdr:nvSpPr>
        <xdr:cNvPr id="2071371" name="Text Box 198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352425</xdr:colOff>
      <xdr:row>38</xdr:row>
      <xdr:rowOff>0</xdr:rowOff>
    </xdr:from>
    <xdr:to>
      <xdr:col>14</xdr:col>
      <xdr:colOff>361950</xdr:colOff>
      <xdr:row>39</xdr:row>
      <xdr:rowOff>28575</xdr:rowOff>
    </xdr:to>
    <xdr:sp macro="" textlink="">
      <xdr:nvSpPr>
        <xdr:cNvPr id="2071372" name="Text Box 199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352425</xdr:colOff>
      <xdr:row>38</xdr:row>
      <xdr:rowOff>0</xdr:rowOff>
    </xdr:from>
    <xdr:to>
      <xdr:col>14</xdr:col>
      <xdr:colOff>361950</xdr:colOff>
      <xdr:row>39</xdr:row>
      <xdr:rowOff>28575</xdr:rowOff>
    </xdr:to>
    <xdr:sp macro="" textlink="">
      <xdr:nvSpPr>
        <xdr:cNvPr id="2071373" name="Text Box 200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352425</xdr:colOff>
      <xdr:row>38</xdr:row>
      <xdr:rowOff>0</xdr:rowOff>
    </xdr:from>
    <xdr:to>
      <xdr:col>14</xdr:col>
      <xdr:colOff>361950</xdr:colOff>
      <xdr:row>39</xdr:row>
      <xdr:rowOff>28575</xdr:rowOff>
    </xdr:to>
    <xdr:sp macro="" textlink="">
      <xdr:nvSpPr>
        <xdr:cNvPr id="2071374" name="Text Box 20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352425</xdr:colOff>
      <xdr:row>38</xdr:row>
      <xdr:rowOff>0</xdr:rowOff>
    </xdr:from>
    <xdr:to>
      <xdr:col>14</xdr:col>
      <xdr:colOff>361950</xdr:colOff>
      <xdr:row>39</xdr:row>
      <xdr:rowOff>28575</xdr:rowOff>
    </xdr:to>
    <xdr:sp macro="" textlink="">
      <xdr:nvSpPr>
        <xdr:cNvPr id="2071375" name="Text Box 202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352425</xdr:colOff>
      <xdr:row>38</xdr:row>
      <xdr:rowOff>0</xdr:rowOff>
    </xdr:from>
    <xdr:to>
      <xdr:col>14</xdr:col>
      <xdr:colOff>361950</xdr:colOff>
      <xdr:row>39</xdr:row>
      <xdr:rowOff>28575</xdr:rowOff>
    </xdr:to>
    <xdr:sp macro="" textlink="">
      <xdr:nvSpPr>
        <xdr:cNvPr id="2071376" name="Text Box 203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352425</xdr:colOff>
      <xdr:row>38</xdr:row>
      <xdr:rowOff>0</xdr:rowOff>
    </xdr:from>
    <xdr:to>
      <xdr:col>14</xdr:col>
      <xdr:colOff>361950</xdr:colOff>
      <xdr:row>39</xdr:row>
      <xdr:rowOff>28575</xdr:rowOff>
    </xdr:to>
    <xdr:sp macro="" textlink="">
      <xdr:nvSpPr>
        <xdr:cNvPr id="2071377" name="Text Box 204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352425</xdr:colOff>
      <xdr:row>38</xdr:row>
      <xdr:rowOff>0</xdr:rowOff>
    </xdr:from>
    <xdr:to>
      <xdr:col>14</xdr:col>
      <xdr:colOff>361950</xdr:colOff>
      <xdr:row>39</xdr:row>
      <xdr:rowOff>28575</xdr:rowOff>
    </xdr:to>
    <xdr:sp macro="" textlink="">
      <xdr:nvSpPr>
        <xdr:cNvPr id="2071378" name="Text Box 260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352425</xdr:colOff>
      <xdr:row>38</xdr:row>
      <xdr:rowOff>0</xdr:rowOff>
    </xdr:from>
    <xdr:to>
      <xdr:col>14</xdr:col>
      <xdr:colOff>361950</xdr:colOff>
      <xdr:row>39</xdr:row>
      <xdr:rowOff>28575</xdr:rowOff>
    </xdr:to>
    <xdr:sp macro="" textlink="">
      <xdr:nvSpPr>
        <xdr:cNvPr id="2071379" name="Text Box 26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352425</xdr:colOff>
      <xdr:row>38</xdr:row>
      <xdr:rowOff>0</xdr:rowOff>
    </xdr:from>
    <xdr:to>
      <xdr:col>14</xdr:col>
      <xdr:colOff>361950</xdr:colOff>
      <xdr:row>39</xdr:row>
      <xdr:rowOff>28575</xdr:rowOff>
    </xdr:to>
    <xdr:sp macro="" textlink="">
      <xdr:nvSpPr>
        <xdr:cNvPr id="2071380" name="Text Box 97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352425</xdr:colOff>
      <xdr:row>38</xdr:row>
      <xdr:rowOff>0</xdr:rowOff>
    </xdr:from>
    <xdr:to>
      <xdr:col>14</xdr:col>
      <xdr:colOff>361950</xdr:colOff>
      <xdr:row>39</xdr:row>
      <xdr:rowOff>28575</xdr:rowOff>
    </xdr:to>
    <xdr:sp macro="" textlink="">
      <xdr:nvSpPr>
        <xdr:cNvPr id="2071381" name="Text Box 972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352425</xdr:colOff>
      <xdr:row>38</xdr:row>
      <xdr:rowOff>0</xdr:rowOff>
    </xdr:from>
    <xdr:to>
      <xdr:col>14</xdr:col>
      <xdr:colOff>361950</xdr:colOff>
      <xdr:row>39</xdr:row>
      <xdr:rowOff>28575</xdr:rowOff>
    </xdr:to>
    <xdr:sp macro="" textlink="">
      <xdr:nvSpPr>
        <xdr:cNvPr id="2071382" name="Text Box 973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352425</xdr:colOff>
      <xdr:row>38</xdr:row>
      <xdr:rowOff>0</xdr:rowOff>
    </xdr:from>
    <xdr:to>
      <xdr:col>14</xdr:col>
      <xdr:colOff>361950</xdr:colOff>
      <xdr:row>39</xdr:row>
      <xdr:rowOff>28575</xdr:rowOff>
    </xdr:to>
    <xdr:sp macro="" textlink="">
      <xdr:nvSpPr>
        <xdr:cNvPr id="2071383" name="Text Box 974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295275</xdr:colOff>
      <xdr:row>38</xdr:row>
      <xdr:rowOff>0</xdr:rowOff>
    </xdr:from>
    <xdr:to>
      <xdr:col>14</xdr:col>
      <xdr:colOff>400050</xdr:colOff>
      <xdr:row>39</xdr:row>
      <xdr:rowOff>28575</xdr:rowOff>
    </xdr:to>
    <xdr:sp macro="" textlink="">
      <xdr:nvSpPr>
        <xdr:cNvPr id="2071384" name="Text Box 168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295275</xdr:colOff>
      <xdr:row>38</xdr:row>
      <xdr:rowOff>0</xdr:rowOff>
    </xdr:from>
    <xdr:to>
      <xdr:col>14</xdr:col>
      <xdr:colOff>400050</xdr:colOff>
      <xdr:row>39</xdr:row>
      <xdr:rowOff>28575</xdr:rowOff>
    </xdr:to>
    <xdr:sp macro="" textlink="">
      <xdr:nvSpPr>
        <xdr:cNvPr id="2071385" name="Text Box 169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295275</xdr:colOff>
      <xdr:row>38</xdr:row>
      <xdr:rowOff>0</xdr:rowOff>
    </xdr:from>
    <xdr:to>
      <xdr:col>14</xdr:col>
      <xdr:colOff>400050</xdr:colOff>
      <xdr:row>39</xdr:row>
      <xdr:rowOff>28575</xdr:rowOff>
    </xdr:to>
    <xdr:sp macro="" textlink="">
      <xdr:nvSpPr>
        <xdr:cNvPr id="2071386" name="Text Box 170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295275</xdr:colOff>
      <xdr:row>38</xdr:row>
      <xdr:rowOff>0</xdr:rowOff>
    </xdr:from>
    <xdr:to>
      <xdr:col>14</xdr:col>
      <xdr:colOff>400050</xdr:colOff>
      <xdr:row>39</xdr:row>
      <xdr:rowOff>28575</xdr:rowOff>
    </xdr:to>
    <xdr:sp macro="" textlink="">
      <xdr:nvSpPr>
        <xdr:cNvPr id="2071387" name="Text Box 17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295275</xdr:colOff>
      <xdr:row>38</xdr:row>
      <xdr:rowOff>0</xdr:rowOff>
    </xdr:from>
    <xdr:to>
      <xdr:col>14</xdr:col>
      <xdr:colOff>400050</xdr:colOff>
      <xdr:row>39</xdr:row>
      <xdr:rowOff>28575</xdr:rowOff>
    </xdr:to>
    <xdr:sp macro="" textlink="">
      <xdr:nvSpPr>
        <xdr:cNvPr id="2071388" name="Text Box 172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295275</xdr:colOff>
      <xdr:row>38</xdr:row>
      <xdr:rowOff>0</xdr:rowOff>
    </xdr:from>
    <xdr:to>
      <xdr:col>14</xdr:col>
      <xdr:colOff>400050</xdr:colOff>
      <xdr:row>39</xdr:row>
      <xdr:rowOff>28575</xdr:rowOff>
    </xdr:to>
    <xdr:sp macro="" textlink="">
      <xdr:nvSpPr>
        <xdr:cNvPr id="2071389" name="Text Box 173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295275</xdr:colOff>
      <xdr:row>38</xdr:row>
      <xdr:rowOff>0</xdr:rowOff>
    </xdr:from>
    <xdr:to>
      <xdr:col>14</xdr:col>
      <xdr:colOff>400050</xdr:colOff>
      <xdr:row>39</xdr:row>
      <xdr:rowOff>28575</xdr:rowOff>
    </xdr:to>
    <xdr:sp macro="" textlink="">
      <xdr:nvSpPr>
        <xdr:cNvPr id="2071390" name="Text Box 174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295275</xdr:colOff>
      <xdr:row>38</xdr:row>
      <xdr:rowOff>0</xdr:rowOff>
    </xdr:from>
    <xdr:to>
      <xdr:col>14</xdr:col>
      <xdr:colOff>400050</xdr:colOff>
      <xdr:row>39</xdr:row>
      <xdr:rowOff>28575</xdr:rowOff>
    </xdr:to>
    <xdr:sp macro="" textlink="">
      <xdr:nvSpPr>
        <xdr:cNvPr id="2071391" name="Text Box 175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295275</xdr:colOff>
      <xdr:row>38</xdr:row>
      <xdr:rowOff>0</xdr:rowOff>
    </xdr:from>
    <xdr:to>
      <xdr:col>14</xdr:col>
      <xdr:colOff>400050</xdr:colOff>
      <xdr:row>39</xdr:row>
      <xdr:rowOff>28575</xdr:rowOff>
    </xdr:to>
    <xdr:sp macro="" textlink="">
      <xdr:nvSpPr>
        <xdr:cNvPr id="2071392" name="Text Box 198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295275</xdr:colOff>
      <xdr:row>38</xdr:row>
      <xdr:rowOff>0</xdr:rowOff>
    </xdr:from>
    <xdr:to>
      <xdr:col>14</xdr:col>
      <xdr:colOff>400050</xdr:colOff>
      <xdr:row>39</xdr:row>
      <xdr:rowOff>28575</xdr:rowOff>
    </xdr:to>
    <xdr:sp macro="" textlink="">
      <xdr:nvSpPr>
        <xdr:cNvPr id="2071393" name="Text Box 199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295275</xdr:colOff>
      <xdr:row>38</xdr:row>
      <xdr:rowOff>0</xdr:rowOff>
    </xdr:from>
    <xdr:to>
      <xdr:col>14</xdr:col>
      <xdr:colOff>400050</xdr:colOff>
      <xdr:row>39</xdr:row>
      <xdr:rowOff>28575</xdr:rowOff>
    </xdr:to>
    <xdr:sp macro="" textlink="">
      <xdr:nvSpPr>
        <xdr:cNvPr id="2071394" name="Text Box 200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295275</xdr:colOff>
      <xdr:row>38</xdr:row>
      <xdr:rowOff>0</xdr:rowOff>
    </xdr:from>
    <xdr:to>
      <xdr:col>14</xdr:col>
      <xdr:colOff>400050</xdr:colOff>
      <xdr:row>39</xdr:row>
      <xdr:rowOff>28575</xdr:rowOff>
    </xdr:to>
    <xdr:sp macro="" textlink="">
      <xdr:nvSpPr>
        <xdr:cNvPr id="2071395" name="Text Box 20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295275</xdr:colOff>
      <xdr:row>38</xdr:row>
      <xdr:rowOff>0</xdr:rowOff>
    </xdr:from>
    <xdr:to>
      <xdr:col>14</xdr:col>
      <xdr:colOff>400050</xdr:colOff>
      <xdr:row>39</xdr:row>
      <xdr:rowOff>28575</xdr:rowOff>
    </xdr:to>
    <xdr:sp macro="" textlink="">
      <xdr:nvSpPr>
        <xdr:cNvPr id="2071396" name="Text Box 202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295275</xdr:colOff>
      <xdr:row>38</xdr:row>
      <xdr:rowOff>0</xdr:rowOff>
    </xdr:from>
    <xdr:to>
      <xdr:col>14</xdr:col>
      <xdr:colOff>400050</xdr:colOff>
      <xdr:row>39</xdr:row>
      <xdr:rowOff>28575</xdr:rowOff>
    </xdr:to>
    <xdr:sp macro="" textlink="">
      <xdr:nvSpPr>
        <xdr:cNvPr id="2071397" name="Text Box 203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295275</xdr:colOff>
      <xdr:row>38</xdr:row>
      <xdr:rowOff>0</xdr:rowOff>
    </xdr:from>
    <xdr:to>
      <xdr:col>14</xdr:col>
      <xdr:colOff>400050</xdr:colOff>
      <xdr:row>39</xdr:row>
      <xdr:rowOff>28575</xdr:rowOff>
    </xdr:to>
    <xdr:sp macro="" textlink="">
      <xdr:nvSpPr>
        <xdr:cNvPr id="2071398" name="Text Box 204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295275</xdr:colOff>
      <xdr:row>38</xdr:row>
      <xdr:rowOff>0</xdr:rowOff>
    </xdr:from>
    <xdr:to>
      <xdr:col>14</xdr:col>
      <xdr:colOff>400050</xdr:colOff>
      <xdr:row>39</xdr:row>
      <xdr:rowOff>28575</xdr:rowOff>
    </xdr:to>
    <xdr:sp macro="" textlink="">
      <xdr:nvSpPr>
        <xdr:cNvPr id="2071399" name="Text Box 260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295275</xdr:colOff>
      <xdr:row>38</xdr:row>
      <xdr:rowOff>0</xdr:rowOff>
    </xdr:from>
    <xdr:to>
      <xdr:col>14</xdr:col>
      <xdr:colOff>400050</xdr:colOff>
      <xdr:row>39</xdr:row>
      <xdr:rowOff>28575</xdr:rowOff>
    </xdr:to>
    <xdr:sp macro="" textlink="">
      <xdr:nvSpPr>
        <xdr:cNvPr id="2071400" name="Text Box 26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295275</xdr:colOff>
      <xdr:row>38</xdr:row>
      <xdr:rowOff>0</xdr:rowOff>
    </xdr:from>
    <xdr:to>
      <xdr:col>14</xdr:col>
      <xdr:colOff>400050</xdr:colOff>
      <xdr:row>39</xdr:row>
      <xdr:rowOff>28575</xdr:rowOff>
    </xdr:to>
    <xdr:sp macro="" textlink="">
      <xdr:nvSpPr>
        <xdr:cNvPr id="2071401" name="Text Box 97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295275</xdr:colOff>
      <xdr:row>38</xdr:row>
      <xdr:rowOff>0</xdr:rowOff>
    </xdr:from>
    <xdr:to>
      <xdr:col>14</xdr:col>
      <xdr:colOff>400050</xdr:colOff>
      <xdr:row>39</xdr:row>
      <xdr:rowOff>28575</xdr:rowOff>
    </xdr:to>
    <xdr:sp macro="" textlink="">
      <xdr:nvSpPr>
        <xdr:cNvPr id="2071402" name="Text Box 972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295275</xdr:colOff>
      <xdr:row>38</xdr:row>
      <xdr:rowOff>0</xdr:rowOff>
    </xdr:from>
    <xdr:to>
      <xdr:col>14</xdr:col>
      <xdr:colOff>400050</xdr:colOff>
      <xdr:row>39</xdr:row>
      <xdr:rowOff>28575</xdr:rowOff>
    </xdr:to>
    <xdr:sp macro="" textlink="">
      <xdr:nvSpPr>
        <xdr:cNvPr id="2071403" name="Text Box 973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295275</xdr:colOff>
      <xdr:row>38</xdr:row>
      <xdr:rowOff>0</xdr:rowOff>
    </xdr:from>
    <xdr:to>
      <xdr:col>14</xdr:col>
      <xdr:colOff>400050</xdr:colOff>
      <xdr:row>39</xdr:row>
      <xdr:rowOff>28575</xdr:rowOff>
    </xdr:to>
    <xdr:sp macro="" textlink="">
      <xdr:nvSpPr>
        <xdr:cNvPr id="2071404" name="Text Box 974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352425</xdr:colOff>
      <xdr:row>38</xdr:row>
      <xdr:rowOff>0</xdr:rowOff>
    </xdr:from>
    <xdr:to>
      <xdr:col>13</xdr:col>
      <xdr:colOff>361950</xdr:colOff>
      <xdr:row>39</xdr:row>
      <xdr:rowOff>28575</xdr:rowOff>
    </xdr:to>
    <xdr:sp macro="" textlink="">
      <xdr:nvSpPr>
        <xdr:cNvPr id="2071405" name="Text Box 168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352425</xdr:colOff>
      <xdr:row>38</xdr:row>
      <xdr:rowOff>0</xdr:rowOff>
    </xdr:from>
    <xdr:to>
      <xdr:col>13</xdr:col>
      <xdr:colOff>361950</xdr:colOff>
      <xdr:row>39</xdr:row>
      <xdr:rowOff>28575</xdr:rowOff>
    </xdr:to>
    <xdr:sp macro="" textlink="">
      <xdr:nvSpPr>
        <xdr:cNvPr id="2071406" name="Text Box 169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352425</xdr:colOff>
      <xdr:row>38</xdr:row>
      <xdr:rowOff>0</xdr:rowOff>
    </xdr:from>
    <xdr:to>
      <xdr:col>13</xdr:col>
      <xdr:colOff>361950</xdr:colOff>
      <xdr:row>39</xdr:row>
      <xdr:rowOff>28575</xdr:rowOff>
    </xdr:to>
    <xdr:sp macro="" textlink="">
      <xdr:nvSpPr>
        <xdr:cNvPr id="2071407" name="Text Box 170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352425</xdr:colOff>
      <xdr:row>38</xdr:row>
      <xdr:rowOff>0</xdr:rowOff>
    </xdr:from>
    <xdr:to>
      <xdr:col>13</xdr:col>
      <xdr:colOff>361950</xdr:colOff>
      <xdr:row>39</xdr:row>
      <xdr:rowOff>28575</xdr:rowOff>
    </xdr:to>
    <xdr:sp macro="" textlink="">
      <xdr:nvSpPr>
        <xdr:cNvPr id="2071408" name="Text Box 17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352425</xdr:colOff>
      <xdr:row>38</xdr:row>
      <xdr:rowOff>0</xdr:rowOff>
    </xdr:from>
    <xdr:to>
      <xdr:col>13</xdr:col>
      <xdr:colOff>361950</xdr:colOff>
      <xdr:row>39</xdr:row>
      <xdr:rowOff>28575</xdr:rowOff>
    </xdr:to>
    <xdr:sp macro="" textlink="">
      <xdr:nvSpPr>
        <xdr:cNvPr id="2071409" name="Text Box 172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352425</xdr:colOff>
      <xdr:row>38</xdr:row>
      <xdr:rowOff>0</xdr:rowOff>
    </xdr:from>
    <xdr:to>
      <xdr:col>13</xdr:col>
      <xdr:colOff>361950</xdr:colOff>
      <xdr:row>39</xdr:row>
      <xdr:rowOff>28575</xdr:rowOff>
    </xdr:to>
    <xdr:sp macro="" textlink="">
      <xdr:nvSpPr>
        <xdr:cNvPr id="2071410" name="Text Box 173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352425</xdr:colOff>
      <xdr:row>38</xdr:row>
      <xdr:rowOff>0</xdr:rowOff>
    </xdr:from>
    <xdr:to>
      <xdr:col>13</xdr:col>
      <xdr:colOff>361950</xdr:colOff>
      <xdr:row>39</xdr:row>
      <xdr:rowOff>28575</xdr:rowOff>
    </xdr:to>
    <xdr:sp macro="" textlink="">
      <xdr:nvSpPr>
        <xdr:cNvPr id="2071411" name="Text Box 174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352425</xdr:colOff>
      <xdr:row>38</xdr:row>
      <xdr:rowOff>0</xdr:rowOff>
    </xdr:from>
    <xdr:to>
      <xdr:col>13</xdr:col>
      <xdr:colOff>361950</xdr:colOff>
      <xdr:row>39</xdr:row>
      <xdr:rowOff>28575</xdr:rowOff>
    </xdr:to>
    <xdr:sp macro="" textlink="">
      <xdr:nvSpPr>
        <xdr:cNvPr id="2071412" name="Text Box 175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352425</xdr:colOff>
      <xdr:row>38</xdr:row>
      <xdr:rowOff>0</xdr:rowOff>
    </xdr:from>
    <xdr:to>
      <xdr:col>13</xdr:col>
      <xdr:colOff>361950</xdr:colOff>
      <xdr:row>39</xdr:row>
      <xdr:rowOff>28575</xdr:rowOff>
    </xdr:to>
    <xdr:sp macro="" textlink="">
      <xdr:nvSpPr>
        <xdr:cNvPr id="2071413" name="Text Box 198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352425</xdr:colOff>
      <xdr:row>38</xdr:row>
      <xdr:rowOff>0</xdr:rowOff>
    </xdr:from>
    <xdr:to>
      <xdr:col>13</xdr:col>
      <xdr:colOff>361950</xdr:colOff>
      <xdr:row>39</xdr:row>
      <xdr:rowOff>28575</xdr:rowOff>
    </xdr:to>
    <xdr:sp macro="" textlink="">
      <xdr:nvSpPr>
        <xdr:cNvPr id="2071414" name="Text Box 199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352425</xdr:colOff>
      <xdr:row>38</xdr:row>
      <xdr:rowOff>0</xdr:rowOff>
    </xdr:from>
    <xdr:to>
      <xdr:col>13</xdr:col>
      <xdr:colOff>361950</xdr:colOff>
      <xdr:row>39</xdr:row>
      <xdr:rowOff>28575</xdr:rowOff>
    </xdr:to>
    <xdr:sp macro="" textlink="">
      <xdr:nvSpPr>
        <xdr:cNvPr id="2071415" name="Text Box 200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352425</xdr:colOff>
      <xdr:row>38</xdr:row>
      <xdr:rowOff>0</xdr:rowOff>
    </xdr:from>
    <xdr:to>
      <xdr:col>13</xdr:col>
      <xdr:colOff>361950</xdr:colOff>
      <xdr:row>39</xdr:row>
      <xdr:rowOff>28575</xdr:rowOff>
    </xdr:to>
    <xdr:sp macro="" textlink="">
      <xdr:nvSpPr>
        <xdr:cNvPr id="2071416" name="Text Box 20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352425</xdr:colOff>
      <xdr:row>38</xdr:row>
      <xdr:rowOff>0</xdr:rowOff>
    </xdr:from>
    <xdr:to>
      <xdr:col>13</xdr:col>
      <xdr:colOff>361950</xdr:colOff>
      <xdr:row>39</xdr:row>
      <xdr:rowOff>28575</xdr:rowOff>
    </xdr:to>
    <xdr:sp macro="" textlink="">
      <xdr:nvSpPr>
        <xdr:cNvPr id="2071417" name="Text Box 202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352425</xdr:colOff>
      <xdr:row>38</xdr:row>
      <xdr:rowOff>0</xdr:rowOff>
    </xdr:from>
    <xdr:to>
      <xdr:col>13</xdr:col>
      <xdr:colOff>361950</xdr:colOff>
      <xdr:row>39</xdr:row>
      <xdr:rowOff>28575</xdr:rowOff>
    </xdr:to>
    <xdr:sp macro="" textlink="">
      <xdr:nvSpPr>
        <xdr:cNvPr id="2071418" name="Text Box 203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352425</xdr:colOff>
      <xdr:row>38</xdr:row>
      <xdr:rowOff>0</xdr:rowOff>
    </xdr:from>
    <xdr:to>
      <xdr:col>13</xdr:col>
      <xdr:colOff>361950</xdr:colOff>
      <xdr:row>39</xdr:row>
      <xdr:rowOff>28575</xdr:rowOff>
    </xdr:to>
    <xdr:sp macro="" textlink="">
      <xdr:nvSpPr>
        <xdr:cNvPr id="2071419" name="Text Box 204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352425</xdr:colOff>
      <xdr:row>38</xdr:row>
      <xdr:rowOff>0</xdr:rowOff>
    </xdr:from>
    <xdr:to>
      <xdr:col>13</xdr:col>
      <xdr:colOff>361950</xdr:colOff>
      <xdr:row>39</xdr:row>
      <xdr:rowOff>28575</xdr:rowOff>
    </xdr:to>
    <xdr:sp macro="" textlink="">
      <xdr:nvSpPr>
        <xdr:cNvPr id="2071420" name="Text Box 260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352425</xdr:colOff>
      <xdr:row>38</xdr:row>
      <xdr:rowOff>0</xdr:rowOff>
    </xdr:from>
    <xdr:to>
      <xdr:col>13</xdr:col>
      <xdr:colOff>361950</xdr:colOff>
      <xdr:row>39</xdr:row>
      <xdr:rowOff>28575</xdr:rowOff>
    </xdr:to>
    <xdr:sp macro="" textlink="">
      <xdr:nvSpPr>
        <xdr:cNvPr id="2071421" name="Text Box 26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352425</xdr:colOff>
      <xdr:row>38</xdr:row>
      <xdr:rowOff>0</xdr:rowOff>
    </xdr:from>
    <xdr:to>
      <xdr:col>13</xdr:col>
      <xdr:colOff>361950</xdr:colOff>
      <xdr:row>39</xdr:row>
      <xdr:rowOff>28575</xdr:rowOff>
    </xdr:to>
    <xdr:sp macro="" textlink="">
      <xdr:nvSpPr>
        <xdr:cNvPr id="2071422" name="Text Box 97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352425</xdr:colOff>
      <xdr:row>38</xdr:row>
      <xdr:rowOff>0</xdr:rowOff>
    </xdr:from>
    <xdr:to>
      <xdr:col>13</xdr:col>
      <xdr:colOff>361950</xdr:colOff>
      <xdr:row>39</xdr:row>
      <xdr:rowOff>28575</xdr:rowOff>
    </xdr:to>
    <xdr:sp macro="" textlink="">
      <xdr:nvSpPr>
        <xdr:cNvPr id="2071423" name="Text Box 972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352425</xdr:colOff>
      <xdr:row>38</xdr:row>
      <xdr:rowOff>0</xdr:rowOff>
    </xdr:from>
    <xdr:to>
      <xdr:col>13</xdr:col>
      <xdr:colOff>361950</xdr:colOff>
      <xdr:row>39</xdr:row>
      <xdr:rowOff>28575</xdr:rowOff>
    </xdr:to>
    <xdr:sp macro="" textlink="">
      <xdr:nvSpPr>
        <xdr:cNvPr id="2071424" name="Text Box 973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352425</xdr:colOff>
      <xdr:row>38</xdr:row>
      <xdr:rowOff>0</xdr:rowOff>
    </xdr:from>
    <xdr:to>
      <xdr:col>13</xdr:col>
      <xdr:colOff>361950</xdr:colOff>
      <xdr:row>39</xdr:row>
      <xdr:rowOff>28575</xdr:rowOff>
    </xdr:to>
    <xdr:sp macro="" textlink="">
      <xdr:nvSpPr>
        <xdr:cNvPr id="2071425" name="Text Box 974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295275</xdr:colOff>
      <xdr:row>38</xdr:row>
      <xdr:rowOff>0</xdr:rowOff>
    </xdr:from>
    <xdr:to>
      <xdr:col>13</xdr:col>
      <xdr:colOff>400050</xdr:colOff>
      <xdr:row>39</xdr:row>
      <xdr:rowOff>28575</xdr:rowOff>
    </xdr:to>
    <xdr:sp macro="" textlink="">
      <xdr:nvSpPr>
        <xdr:cNvPr id="2071426" name="Text Box 168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295275</xdr:colOff>
      <xdr:row>38</xdr:row>
      <xdr:rowOff>0</xdr:rowOff>
    </xdr:from>
    <xdr:to>
      <xdr:col>13</xdr:col>
      <xdr:colOff>400050</xdr:colOff>
      <xdr:row>39</xdr:row>
      <xdr:rowOff>28575</xdr:rowOff>
    </xdr:to>
    <xdr:sp macro="" textlink="">
      <xdr:nvSpPr>
        <xdr:cNvPr id="2071427" name="Text Box 169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295275</xdr:colOff>
      <xdr:row>38</xdr:row>
      <xdr:rowOff>0</xdr:rowOff>
    </xdr:from>
    <xdr:to>
      <xdr:col>13</xdr:col>
      <xdr:colOff>400050</xdr:colOff>
      <xdr:row>39</xdr:row>
      <xdr:rowOff>28575</xdr:rowOff>
    </xdr:to>
    <xdr:sp macro="" textlink="">
      <xdr:nvSpPr>
        <xdr:cNvPr id="2071428" name="Text Box 170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295275</xdr:colOff>
      <xdr:row>38</xdr:row>
      <xdr:rowOff>0</xdr:rowOff>
    </xdr:from>
    <xdr:to>
      <xdr:col>13</xdr:col>
      <xdr:colOff>400050</xdr:colOff>
      <xdr:row>39</xdr:row>
      <xdr:rowOff>28575</xdr:rowOff>
    </xdr:to>
    <xdr:sp macro="" textlink="">
      <xdr:nvSpPr>
        <xdr:cNvPr id="2071429" name="Text Box 17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295275</xdr:colOff>
      <xdr:row>38</xdr:row>
      <xdr:rowOff>0</xdr:rowOff>
    </xdr:from>
    <xdr:to>
      <xdr:col>13</xdr:col>
      <xdr:colOff>400050</xdr:colOff>
      <xdr:row>39</xdr:row>
      <xdr:rowOff>28575</xdr:rowOff>
    </xdr:to>
    <xdr:sp macro="" textlink="">
      <xdr:nvSpPr>
        <xdr:cNvPr id="2071430" name="Text Box 172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295275</xdr:colOff>
      <xdr:row>38</xdr:row>
      <xdr:rowOff>0</xdr:rowOff>
    </xdr:from>
    <xdr:to>
      <xdr:col>13</xdr:col>
      <xdr:colOff>400050</xdr:colOff>
      <xdr:row>39</xdr:row>
      <xdr:rowOff>28575</xdr:rowOff>
    </xdr:to>
    <xdr:sp macro="" textlink="">
      <xdr:nvSpPr>
        <xdr:cNvPr id="2071431" name="Text Box 173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295275</xdr:colOff>
      <xdr:row>38</xdr:row>
      <xdr:rowOff>0</xdr:rowOff>
    </xdr:from>
    <xdr:to>
      <xdr:col>13</xdr:col>
      <xdr:colOff>400050</xdr:colOff>
      <xdr:row>39</xdr:row>
      <xdr:rowOff>28575</xdr:rowOff>
    </xdr:to>
    <xdr:sp macro="" textlink="">
      <xdr:nvSpPr>
        <xdr:cNvPr id="2071432" name="Text Box 174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295275</xdr:colOff>
      <xdr:row>38</xdr:row>
      <xdr:rowOff>0</xdr:rowOff>
    </xdr:from>
    <xdr:to>
      <xdr:col>13</xdr:col>
      <xdr:colOff>400050</xdr:colOff>
      <xdr:row>39</xdr:row>
      <xdr:rowOff>28575</xdr:rowOff>
    </xdr:to>
    <xdr:sp macro="" textlink="">
      <xdr:nvSpPr>
        <xdr:cNvPr id="2071433" name="Text Box 175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295275</xdr:colOff>
      <xdr:row>38</xdr:row>
      <xdr:rowOff>0</xdr:rowOff>
    </xdr:from>
    <xdr:to>
      <xdr:col>13</xdr:col>
      <xdr:colOff>400050</xdr:colOff>
      <xdr:row>39</xdr:row>
      <xdr:rowOff>28575</xdr:rowOff>
    </xdr:to>
    <xdr:sp macro="" textlink="">
      <xdr:nvSpPr>
        <xdr:cNvPr id="2071434" name="Text Box 198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295275</xdr:colOff>
      <xdr:row>38</xdr:row>
      <xdr:rowOff>0</xdr:rowOff>
    </xdr:from>
    <xdr:to>
      <xdr:col>13</xdr:col>
      <xdr:colOff>400050</xdr:colOff>
      <xdr:row>39</xdr:row>
      <xdr:rowOff>28575</xdr:rowOff>
    </xdr:to>
    <xdr:sp macro="" textlink="">
      <xdr:nvSpPr>
        <xdr:cNvPr id="2071435" name="Text Box 199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295275</xdr:colOff>
      <xdr:row>38</xdr:row>
      <xdr:rowOff>0</xdr:rowOff>
    </xdr:from>
    <xdr:to>
      <xdr:col>13</xdr:col>
      <xdr:colOff>400050</xdr:colOff>
      <xdr:row>39</xdr:row>
      <xdr:rowOff>28575</xdr:rowOff>
    </xdr:to>
    <xdr:sp macro="" textlink="">
      <xdr:nvSpPr>
        <xdr:cNvPr id="2071436" name="Text Box 200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295275</xdr:colOff>
      <xdr:row>38</xdr:row>
      <xdr:rowOff>0</xdr:rowOff>
    </xdr:from>
    <xdr:to>
      <xdr:col>13</xdr:col>
      <xdr:colOff>400050</xdr:colOff>
      <xdr:row>39</xdr:row>
      <xdr:rowOff>28575</xdr:rowOff>
    </xdr:to>
    <xdr:sp macro="" textlink="">
      <xdr:nvSpPr>
        <xdr:cNvPr id="2071437" name="Text Box 20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295275</xdr:colOff>
      <xdr:row>38</xdr:row>
      <xdr:rowOff>0</xdr:rowOff>
    </xdr:from>
    <xdr:to>
      <xdr:col>13</xdr:col>
      <xdr:colOff>400050</xdr:colOff>
      <xdr:row>39</xdr:row>
      <xdr:rowOff>28575</xdr:rowOff>
    </xdr:to>
    <xdr:sp macro="" textlink="">
      <xdr:nvSpPr>
        <xdr:cNvPr id="2071438" name="Text Box 202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295275</xdr:colOff>
      <xdr:row>38</xdr:row>
      <xdr:rowOff>0</xdr:rowOff>
    </xdr:from>
    <xdr:to>
      <xdr:col>13</xdr:col>
      <xdr:colOff>400050</xdr:colOff>
      <xdr:row>39</xdr:row>
      <xdr:rowOff>28575</xdr:rowOff>
    </xdr:to>
    <xdr:sp macro="" textlink="">
      <xdr:nvSpPr>
        <xdr:cNvPr id="2071439" name="Text Box 203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295275</xdr:colOff>
      <xdr:row>38</xdr:row>
      <xdr:rowOff>0</xdr:rowOff>
    </xdr:from>
    <xdr:to>
      <xdr:col>13</xdr:col>
      <xdr:colOff>400050</xdr:colOff>
      <xdr:row>39</xdr:row>
      <xdr:rowOff>28575</xdr:rowOff>
    </xdr:to>
    <xdr:sp macro="" textlink="">
      <xdr:nvSpPr>
        <xdr:cNvPr id="2071440" name="Text Box 204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295275</xdr:colOff>
      <xdr:row>38</xdr:row>
      <xdr:rowOff>0</xdr:rowOff>
    </xdr:from>
    <xdr:to>
      <xdr:col>13</xdr:col>
      <xdr:colOff>400050</xdr:colOff>
      <xdr:row>39</xdr:row>
      <xdr:rowOff>28575</xdr:rowOff>
    </xdr:to>
    <xdr:sp macro="" textlink="">
      <xdr:nvSpPr>
        <xdr:cNvPr id="2071441" name="Text Box 260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295275</xdr:colOff>
      <xdr:row>38</xdr:row>
      <xdr:rowOff>0</xdr:rowOff>
    </xdr:from>
    <xdr:to>
      <xdr:col>13</xdr:col>
      <xdr:colOff>400050</xdr:colOff>
      <xdr:row>39</xdr:row>
      <xdr:rowOff>28575</xdr:rowOff>
    </xdr:to>
    <xdr:sp macro="" textlink="">
      <xdr:nvSpPr>
        <xdr:cNvPr id="2071442" name="Text Box 26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295275</xdr:colOff>
      <xdr:row>38</xdr:row>
      <xdr:rowOff>0</xdr:rowOff>
    </xdr:from>
    <xdr:to>
      <xdr:col>13</xdr:col>
      <xdr:colOff>400050</xdr:colOff>
      <xdr:row>39</xdr:row>
      <xdr:rowOff>28575</xdr:rowOff>
    </xdr:to>
    <xdr:sp macro="" textlink="">
      <xdr:nvSpPr>
        <xdr:cNvPr id="2071443" name="Text Box 97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295275</xdr:colOff>
      <xdr:row>38</xdr:row>
      <xdr:rowOff>0</xdr:rowOff>
    </xdr:from>
    <xdr:to>
      <xdr:col>13</xdr:col>
      <xdr:colOff>400050</xdr:colOff>
      <xdr:row>39</xdr:row>
      <xdr:rowOff>28575</xdr:rowOff>
    </xdr:to>
    <xdr:sp macro="" textlink="">
      <xdr:nvSpPr>
        <xdr:cNvPr id="2071444" name="Text Box 972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295275</xdr:colOff>
      <xdr:row>38</xdr:row>
      <xdr:rowOff>0</xdr:rowOff>
    </xdr:from>
    <xdr:to>
      <xdr:col>13</xdr:col>
      <xdr:colOff>400050</xdr:colOff>
      <xdr:row>39</xdr:row>
      <xdr:rowOff>28575</xdr:rowOff>
    </xdr:to>
    <xdr:sp macro="" textlink="">
      <xdr:nvSpPr>
        <xdr:cNvPr id="2071445" name="Text Box 973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295275</xdr:colOff>
      <xdr:row>38</xdr:row>
      <xdr:rowOff>0</xdr:rowOff>
    </xdr:from>
    <xdr:to>
      <xdr:col>13</xdr:col>
      <xdr:colOff>400050</xdr:colOff>
      <xdr:row>39</xdr:row>
      <xdr:rowOff>28575</xdr:rowOff>
    </xdr:to>
    <xdr:sp macro="" textlink="">
      <xdr:nvSpPr>
        <xdr:cNvPr id="2071446" name="Text Box 974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352425</xdr:colOff>
      <xdr:row>38</xdr:row>
      <xdr:rowOff>0</xdr:rowOff>
    </xdr:from>
    <xdr:to>
      <xdr:col>14</xdr:col>
      <xdr:colOff>361950</xdr:colOff>
      <xdr:row>39</xdr:row>
      <xdr:rowOff>28575</xdr:rowOff>
    </xdr:to>
    <xdr:sp macro="" textlink="">
      <xdr:nvSpPr>
        <xdr:cNvPr id="2071447" name="Text Box 168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352425</xdr:colOff>
      <xdr:row>38</xdr:row>
      <xdr:rowOff>0</xdr:rowOff>
    </xdr:from>
    <xdr:to>
      <xdr:col>14</xdr:col>
      <xdr:colOff>361950</xdr:colOff>
      <xdr:row>39</xdr:row>
      <xdr:rowOff>28575</xdr:rowOff>
    </xdr:to>
    <xdr:sp macro="" textlink="">
      <xdr:nvSpPr>
        <xdr:cNvPr id="2071448" name="Text Box 169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352425</xdr:colOff>
      <xdr:row>38</xdr:row>
      <xdr:rowOff>0</xdr:rowOff>
    </xdr:from>
    <xdr:to>
      <xdr:col>14</xdr:col>
      <xdr:colOff>361950</xdr:colOff>
      <xdr:row>39</xdr:row>
      <xdr:rowOff>28575</xdr:rowOff>
    </xdr:to>
    <xdr:sp macro="" textlink="">
      <xdr:nvSpPr>
        <xdr:cNvPr id="2071449" name="Text Box 170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352425</xdr:colOff>
      <xdr:row>38</xdr:row>
      <xdr:rowOff>0</xdr:rowOff>
    </xdr:from>
    <xdr:to>
      <xdr:col>14</xdr:col>
      <xdr:colOff>361950</xdr:colOff>
      <xdr:row>39</xdr:row>
      <xdr:rowOff>28575</xdr:rowOff>
    </xdr:to>
    <xdr:sp macro="" textlink="">
      <xdr:nvSpPr>
        <xdr:cNvPr id="2071450" name="Text Box 17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352425</xdr:colOff>
      <xdr:row>38</xdr:row>
      <xdr:rowOff>0</xdr:rowOff>
    </xdr:from>
    <xdr:to>
      <xdr:col>14</xdr:col>
      <xdr:colOff>361950</xdr:colOff>
      <xdr:row>39</xdr:row>
      <xdr:rowOff>28575</xdr:rowOff>
    </xdr:to>
    <xdr:sp macro="" textlink="">
      <xdr:nvSpPr>
        <xdr:cNvPr id="2071451" name="Text Box 172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352425</xdr:colOff>
      <xdr:row>38</xdr:row>
      <xdr:rowOff>0</xdr:rowOff>
    </xdr:from>
    <xdr:to>
      <xdr:col>14</xdr:col>
      <xdr:colOff>361950</xdr:colOff>
      <xdr:row>39</xdr:row>
      <xdr:rowOff>28575</xdr:rowOff>
    </xdr:to>
    <xdr:sp macro="" textlink="">
      <xdr:nvSpPr>
        <xdr:cNvPr id="2071452" name="Text Box 173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352425</xdr:colOff>
      <xdr:row>38</xdr:row>
      <xdr:rowOff>0</xdr:rowOff>
    </xdr:from>
    <xdr:to>
      <xdr:col>14</xdr:col>
      <xdr:colOff>361950</xdr:colOff>
      <xdr:row>39</xdr:row>
      <xdr:rowOff>28575</xdr:rowOff>
    </xdr:to>
    <xdr:sp macro="" textlink="">
      <xdr:nvSpPr>
        <xdr:cNvPr id="2071453" name="Text Box 174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352425</xdr:colOff>
      <xdr:row>38</xdr:row>
      <xdr:rowOff>0</xdr:rowOff>
    </xdr:from>
    <xdr:to>
      <xdr:col>14</xdr:col>
      <xdr:colOff>361950</xdr:colOff>
      <xdr:row>39</xdr:row>
      <xdr:rowOff>28575</xdr:rowOff>
    </xdr:to>
    <xdr:sp macro="" textlink="">
      <xdr:nvSpPr>
        <xdr:cNvPr id="2071454" name="Text Box 175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352425</xdr:colOff>
      <xdr:row>38</xdr:row>
      <xdr:rowOff>0</xdr:rowOff>
    </xdr:from>
    <xdr:to>
      <xdr:col>14</xdr:col>
      <xdr:colOff>361950</xdr:colOff>
      <xdr:row>39</xdr:row>
      <xdr:rowOff>28575</xdr:rowOff>
    </xdr:to>
    <xdr:sp macro="" textlink="">
      <xdr:nvSpPr>
        <xdr:cNvPr id="2071455" name="Text Box 198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352425</xdr:colOff>
      <xdr:row>38</xdr:row>
      <xdr:rowOff>0</xdr:rowOff>
    </xdr:from>
    <xdr:to>
      <xdr:col>14</xdr:col>
      <xdr:colOff>361950</xdr:colOff>
      <xdr:row>39</xdr:row>
      <xdr:rowOff>28575</xdr:rowOff>
    </xdr:to>
    <xdr:sp macro="" textlink="">
      <xdr:nvSpPr>
        <xdr:cNvPr id="2071456" name="Text Box 199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352425</xdr:colOff>
      <xdr:row>38</xdr:row>
      <xdr:rowOff>0</xdr:rowOff>
    </xdr:from>
    <xdr:to>
      <xdr:col>14</xdr:col>
      <xdr:colOff>361950</xdr:colOff>
      <xdr:row>39</xdr:row>
      <xdr:rowOff>28575</xdr:rowOff>
    </xdr:to>
    <xdr:sp macro="" textlink="">
      <xdr:nvSpPr>
        <xdr:cNvPr id="2071457" name="Text Box 200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352425</xdr:colOff>
      <xdr:row>38</xdr:row>
      <xdr:rowOff>0</xdr:rowOff>
    </xdr:from>
    <xdr:to>
      <xdr:col>14</xdr:col>
      <xdr:colOff>361950</xdr:colOff>
      <xdr:row>39</xdr:row>
      <xdr:rowOff>28575</xdr:rowOff>
    </xdr:to>
    <xdr:sp macro="" textlink="">
      <xdr:nvSpPr>
        <xdr:cNvPr id="2071458" name="Text Box 20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352425</xdr:colOff>
      <xdr:row>38</xdr:row>
      <xdr:rowOff>0</xdr:rowOff>
    </xdr:from>
    <xdr:to>
      <xdr:col>14</xdr:col>
      <xdr:colOff>361950</xdr:colOff>
      <xdr:row>39</xdr:row>
      <xdr:rowOff>28575</xdr:rowOff>
    </xdr:to>
    <xdr:sp macro="" textlink="">
      <xdr:nvSpPr>
        <xdr:cNvPr id="2071459" name="Text Box 202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352425</xdr:colOff>
      <xdr:row>38</xdr:row>
      <xdr:rowOff>0</xdr:rowOff>
    </xdr:from>
    <xdr:to>
      <xdr:col>14</xdr:col>
      <xdr:colOff>361950</xdr:colOff>
      <xdr:row>39</xdr:row>
      <xdr:rowOff>28575</xdr:rowOff>
    </xdr:to>
    <xdr:sp macro="" textlink="">
      <xdr:nvSpPr>
        <xdr:cNvPr id="2071460" name="Text Box 203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352425</xdr:colOff>
      <xdr:row>38</xdr:row>
      <xdr:rowOff>0</xdr:rowOff>
    </xdr:from>
    <xdr:to>
      <xdr:col>14</xdr:col>
      <xdr:colOff>361950</xdr:colOff>
      <xdr:row>39</xdr:row>
      <xdr:rowOff>28575</xdr:rowOff>
    </xdr:to>
    <xdr:sp macro="" textlink="">
      <xdr:nvSpPr>
        <xdr:cNvPr id="2071461" name="Text Box 204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352425</xdr:colOff>
      <xdr:row>38</xdr:row>
      <xdr:rowOff>0</xdr:rowOff>
    </xdr:from>
    <xdr:to>
      <xdr:col>14</xdr:col>
      <xdr:colOff>361950</xdr:colOff>
      <xdr:row>39</xdr:row>
      <xdr:rowOff>28575</xdr:rowOff>
    </xdr:to>
    <xdr:sp macro="" textlink="">
      <xdr:nvSpPr>
        <xdr:cNvPr id="2071462" name="Text Box 260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352425</xdr:colOff>
      <xdr:row>38</xdr:row>
      <xdr:rowOff>0</xdr:rowOff>
    </xdr:from>
    <xdr:to>
      <xdr:col>14</xdr:col>
      <xdr:colOff>361950</xdr:colOff>
      <xdr:row>39</xdr:row>
      <xdr:rowOff>28575</xdr:rowOff>
    </xdr:to>
    <xdr:sp macro="" textlink="">
      <xdr:nvSpPr>
        <xdr:cNvPr id="2071463" name="Text Box 26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352425</xdr:colOff>
      <xdr:row>38</xdr:row>
      <xdr:rowOff>0</xdr:rowOff>
    </xdr:from>
    <xdr:to>
      <xdr:col>14</xdr:col>
      <xdr:colOff>361950</xdr:colOff>
      <xdr:row>39</xdr:row>
      <xdr:rowOff>28575</xdr:rowOff>
    </xdr:to>
    <xdr:sp macro="" textlink="">
      <xdr:nvSpPr>
        <xdr:cNvPr id="2071464" name="Text Box 97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352425</xdr:colOff>
      <xdr:row>38</xdr:row>
      <xdr:rowOff>0</xdr:rowOff>
    </xdr:from>
    <xdr:to>
      <xdr:col>14</xdr:col>
      <xdr:colOff>361950</xdr:colOff>
      <xdr:row>39</xdr:row>
      <xdr:rowOff>28575</xdr:rowOff>
    </xdr:to>
    <xdr:sp macro="" textlink="">
      <xdr:nvSpPr>
        <xdr:cNvPr id="2071465" name="Text Box 972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352425</xdr:colOff>
      <xdr:row>38</xdr:row>
      <xdr:rowOff>0</xdr:rowOff>
    </xdr:from>
    <xdr:to>
      <xdr:col>14</xdr:col>
      <xdr:colOff>361950</xdr:colOff>
      <xdr:row>39</xdr:row>
      <xdr:rowOff>28575</xdr:rowOff>
    </xdr:to>
    <xdr:sp macro="" textlink="">
      <xdr:nvSpPr>
        <xdr:cNvPr id="2071466" name="Text Box 973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352425</xdr:colOff>
      <xdr:row>38</xdr:row>
      <xdr:rowOff>0</xdr:rowOff>
    </xdr:from>
    <xdr:to>
      <xdr:col>14</xdr:col>
      <xdr:colOff>361950</xdr:colOff>
      <xdr:row>39</xdr:row>
      <xdr:rowOff>28575</xdr:rowOff>
    </xdr:to>
    <xdr:sp macro="" textlink="">
      <xdr:nvSpPr>
        <xdr:cNvPr id="2071467" name="Text Box 974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295275</xdr:colOff>
      <xdr:row>38</xdr:row>
      <xdr:rowOff>0</xdr:rowOff>
    </xdr:from>
    <xdr:to>
      <xdr:col>14</xdr:col>
      <xdr:colOff>400050</xdr:colOff>
      <xdr:row>39</xdr:row>
      <xdr:rowOff>28575</xdr:rowOff>
    </xdr:to>
    <xdr:sp macro="" textlink="">
      <xdr:nvSpPr>
        <xdr:cNvPr id="2071468" name="Text Box 168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295275</xdr:colOff>
      <xdr:row>38</xdr:row>
      <xdr:rowOff>0</xdr:rowOff>
    </xdr:from>
    <xdr:to>
      <xdr:col>14</xdr:col>
      <xdr:colOff>400050</xdr:colOff>
      <xdr:row>39</xdr:row>
      <xdr:rowOff>28575</xdr:rowOff>
    </xdr:to>
    <xdr:sp macro="" textlink="">
      <xdr:nvSpPr>
        <xdr:cNvPr id="2071469" name="Text Box 169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295275</xdr:colOff>
      <xdr:row>38</xdr:row>
      <xdr:rowOff>0</xdr:rowOff>
    </xdr:from>
    <xdr:to>
      <xdr:col>14</xdr:col>
      <xdr:colOff>400050</xdr:colOff>
      <xdr:row>39</xdr:row>
      <xdr:rowOff>28575</xdr:rowOff>
    </xdr:to>
    <xdr:sp macro="" textlink="">
      <xdr:nvSpPr>
        <xdr:cNvPr id="2071470" name="Text Box 170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295275</xdr:colOff>
      <xdr:row>38</xdr:row>
      <xdr:rowOff>0</xdr:rowOff>
    </xdr:from>
    <xdr:to>
      <xdr:col>14</xdr:col>
      <xdr:colOff>400050</xdr:colOff>
      <xdr:row>39</xdr:row>
      <xdr:rowOff>28575</xdr:rowOff>
    </xdr:to>
    <xdr:sp macro="" textlink="">
      <xdr:nvSpPr>
        <xdr:cNvPr id="2071471" name="Text Box 17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295275</xdr:colOff>
      <xdr:row>38</xdr:row>
      <xdr:rowOff>0</xdr:rowOff>
    </xdr:from>
    <xdr:to>
      <xdr:col>14</xdr:col>
      <xdr:colOff>400050</xdr:colOff>
      <xdr:row>39</xdr:row>
      <xdr:rowOff>28575</xdr:rowOff>
    </xdr:to>
    <xdr:sp macro="" textlink="">
      <xdr:nvSpPr>
        <xdr:cNvPr id="2071472" name="Text Box 172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295275</xdr:colOff>
      <xdr:row>38</xdr:row>
      <xdr:rowOff>0</xdr:rowOff>
    </xdr:from>
    <xdr:to>
      <xdr:col>14</xdr:col>
      <xdr:colOff>400050</xdr:colOff>
      <xdr:row>39</xdr:row>
      <xdr:rowOff>28575</xdr:rowOff>
    </xdr:to>
    <xdr:sp macro="" textlink="">
      <xdr:nvSpPr>
        <xdr:cNvPr id="2071473" name="Text Box 173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295275</xdr:colOff>
      <xdr:row>38</xdr:row>
      <xdr:rowOff>0</xdr:rowOff>
    </xdr:from>
    <xdr:to>
      <xdr:col>14</xdr:col>
      <xdr:colOff>400050</xdr:colOff>
      <xdr:row>39</xdr:row>
      <xdr:rowOff>28575</xdr:rowOff>
    </xdr:to>
    <xdr:sp macro="" textlink="">
      <xdr:nvSpPr>
        <xdr:cNvPr id="2071474" name="Text Box 174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295275</xdr:colOff>
      <xdr:row>38</xdr:row>
      <xdr:rowOff>0</xdr:rowOff>
    </xdr:from>
    <xdr:to>
      <xdr:col>14</xdr:col>
      <xdr:colOff>400050</xdr:colOff>
      <xdr:row>39</xdr:row>
      <xdr:rowOff>28575</xdr:rowOff>
    </xdr:to>
    <xdr:sp macro="" textlink="">
      <xdr:nvSpPr>
        <xdr:cNvPr id="2071475" name="Text Box 175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295275</xdr:colOff>
      <xdr:row>38</xdr:row>
      <xdr:rowOff>0</xdr:rowOff>
    </xdr:from>
    <xdr:to>
      <xdr:col>14</xdr:col>
      <xdr:colOff>400050</xdr:colOff>
      <xdr:row>39</xdr:row>
      <xdr:rowOff>28575</xdr:rowOff>
    </xdr:to>
    <xdr:sp macro="" textlink="">
      <xdr:nvSpPr>
        <xdr:cNvPr id="2071476" name="Text Box 198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295275</xdr:colOff>
      <xdr:row>38</xdr:row>
      <xdr:rowOff>0</xdr:rowOff>
    </xdr:from>
    <xdr:to>
      <xdr:col>14</xdr:col>
      <xdr:colOff>400050</xdr:colOff>
      <xdr:row>39</xdr:row>
      <xdr:rowOff>28575</xdr:rowOff>
    </xdr:to>
    <xdr:sp macro="" textlink="">
      <xdr:nvSpPr>
        <xdr:cNvPr id="2071477" name="Text Box 199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295275</xdr:colOff>
      <xdr:row>38</xdr:row>
      <xdr:rowOff>0</xdr:rowOff>
    </xdr:from>
    <xdr:to>
      <xdr:col>14</xdr:col>
      <xdr:colOff>400050</xdr:colOff>
      <xdr:row>39</xdr:row>
      <xdr:rowOff>28575</xdr:rowOff>
    </xdr:to>
    <xdr:sp macro="" textlink="">
      <xdr:nvSpPr>
        <xdr:cNvPr id="2071478" name="Text Box 200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295275</xdr:colOff>
      <xdr:row>38</xdr:row>
      <xdr:rowOff>0</xdr:rowOff>
    </xdr:from>
    <xdr:to>
      <xdr:col>14</xdr:col>
      <xdr:colOff>400050</xdr:colOff>
      <xdr:row>39</xdr:row>
      <xdr:rowOff>28575</xdr:rowOff>
    </xdr:to>
    <xdr:sp macro="" textlink="">
      <xdr:nvSpPr>
        <xdr:cNvPr id="2071479" name="Text Box 20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295275</xdr:colOff>
      <xdr:row>38</xdr:row>
      <xdr:rowOff>0</xdr:rowOff>
    </xdr:from>
    <xdr:to>
      <xdr:col>14</xdr:col>
      <xdr:colOff>400050</xdr:colOff>
      <xdr:row>39</xdr:row>
      <xdr:rowOff>28575</xdr:rowOff>
    </xdr:to>
    <xdr:sp macro="" textlink="">
      <xdr:nvSpPr>
        <xdr:cNvPr id="2071480" name="Text Box 202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295275</xdr:colOff>
      <xdr:row>38</xdr:row>
      <xdr:rowOff>0</xdr:rowOff>
    </xdr:from>
    <xdr:to>
      <xdr:col>14</xdr:col>
      <xdr:colOff>400050</xdr:colOff>
      <xdr:row>39</xdr:row>
      <xdr:rowOff>28575</xdr:rowOff>
    </xdr:to>
    <xdr:sp macro="" textlink="">
      <xdr:nvSpPr>
        <xdr:cNvPr id="2071481" name="Text Box 203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295275</xdr:colOff>
      <xdr:row>38</xdr:row>
      <xdr:rowOff>0</xdr:rowOff>
    </xdr:from>
    <xdr:to>
      <xdr:col>14</xdr:col>
      <xdr:colOff>400050</xdr:colOff>
      <xdr:row>39</xdr:row>
      <xdr:rowOff>28575</xdr:rowOff>
    </xdr:to>
    <xdr:sp macro="" textlink="">
      <xdr:nvSpPr>
        <xdr:cNvPr id="2071482" name="Text Box 204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295275</xdr:colOff>
      <xdr:row>38</xdr:row>
      <xdr:rowOff>0</xdr:rowOff>
    </xdr:from>
    <xdr:to>
      <xdr:col>14</xdr:col>
      <xdr:colOff>400050</xdr:colOff>
      <xdr:row>39</xdr:row>
      <xdr:rowOff>28575</xdr:rowOff>
    </xdr:to>
    <xdr:sp macro="" textlink="">
      <xdr:nvSpPr>
        <xdr:cNvPr id="2071483" name="Text Box 260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295275</xdr:colOff>
      <xdr:row>38</xdr:row>
      <xdr:rowOff>0</xdr:rowOff>
    </xdr:from>
    <xdr:to>
      <xdr:col>14</xdr:col>
      <xdr:colOff>400050</xdr:colOff>
      <xdr:row>39</xdr:row>
      <xdr:rowOff>28575</xdr:rowOff>
    </xdr:to>
    <xdr:sp macro="" textlink="">
      <xdr:nvSpPr>
        <xdr:cNvPr id="2071484" name="Text Box 26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295275</xdr:colOff>
      <xdr:row>38</xdr:row>
      <xdr:rowOff>0</xdr:rowOff>
    </xdr:from>
    <xdr:to>
      <xdr:col>14</xdr:col>
      <xdr:colOff>400050</xdr:colOff>
      <xdr:row>39</xdr:row>
      <xdr:rowOff>28575</xdr:rowOff>
    </xdr:to>
    <xdr:sp macro="" textlink="">
      <xdr:nvSpPr>
        <xdr:cNvPr id="2071485" name="Text Box 97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295275</xdr:colOff>
      <xdr:row>38</xdr:row>
      <xdr:rowOff>0</xdr:rowOff>
    </xdr:from>
    <xdr:to>
      <xdr:col>14</xdr:col>
      <xdr:colOff>400050</xdr:colOff>
      <xdr:row>39</xdr:row>
      <xdr:rowOff>28575</xdr:rowOff>
    </xdr:to>
    <xdr:sp macro="" textlink="">
      <xdr:nvSpPr>
        <xdr:cNvPr id="2071486" name="Text Box 972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295275</xdr:colOff>
      <xdr:row>38</xdr:row>
      <xdr:rowOff>0</xdr:rowOff>
    </xdr:from>
    <xdr:to>
      <xdr:col>14</xdr:col>
      <xdr:colOff>400050</xdr:colOff>
      <xdr:row>39</xdr:row>
      <xdr:rowOff>28575</xdr:rowOff>
    </xdr:to>
    <xdr:sp macro="" textlink="">
      <xdr:nvSpPr>
        <xdr:cNvPr id="2071487" name="Text Box 973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295275</xdr:colOff>
      <xdr:row>38</xdr:row>
      <xdr:rowOff>0</xdr:rowOff>
    </xdr:from>
    <xdr:to>
      <xdr:col>14</xdr:col>
      <xdr:colOff>400050</xdr:colOff>
      <xdr:row>39</xdr:row>
      <xdr:rowOff>28575</xdr:rowOff>
    </xdr:to>
    <xdr:sp macro="" textlink="">
      <xdr:nvSpPr>
        <xdr:cNvPr id="2071488" name="Text Box 974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352425</xdr:colOff>
      <xdr:row>38</xdr:row>
      <xdr:rowOff>0</xdr:rowOff>
    </xdr:from>
    <xdr:to>
      <xdr:col>15</xdr:col>
      <xdr:colOff>361950</xdr:colOff>
      <xdr:row>39</xdr:row>
      <xdr:rowOff>28575</xdr:rowOff>
    </xdr:to>
    <xdr:sp macro="" textlink="">
      <xdr:nvSpPr>
        <xdr:cNvPr id="2071489" name="Text Box 168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352425</xdr:colOff>
      <xdr:row>38</xdr:row>
      <xdr:rowOff>0</xdr:rowOff>
    </xdr:from>
    <xdr:to>
      <xdr:col>15</xdr:col>
      <xdr:colOff>361950</xdr:colOff>
      <xdr:row>39</xdr:row>
      <xdr:rowOff>28575</xdr:rowOff>
    </xdr:to>
    <xdr:sp macro="" textlink="">
      <xdr:nvSpPr>
        <xdr:cNvPr id="2071490" name="Text Box 169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352425</xdr:colOff>
      <xdr:row>38</xdr:row>
      <xdr:rowOff>0</xdr:rowOff>
    </xdr:from>
    <xdr:to>
      <xdr:col>15</xdr:col>
      <xdr:colOff>361950</xdr:colOff>
      <xdr:row>39</xdr:row>
      <xdr:rowOff>28575</xdr:rowOff>
    </xdr:to>
    <xdr:sp macro="" textlink="">
      <xdr:nvSpPr>
        <xdr:cNvPr id="2071491" name="Text Box 170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352425</xdr:colOff>
      <xdr:row>38</xdr:row>
      <xdr:rowOff>0</xdr:rowOff>
    </xdr:from>
    <xdr:to>
      <xdr:col>15</xdr:col>
      <xdr:colOff>361950</xdr:colOff>
      <xdr:row>39</xdr:row>
      <xdr:rowOff>28575</xdr:rowOff>
    </xdr:to>
    <xdr:sp macro="" textlink="">
      <xdr:nvSpPr>
        <xdr:cNvPr id="2071492" name="Text Box 17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352425</xdr:colOff>
      <xdr:row>38</xdr:row>
      <xdr:rowOff>0</xdr:rowOff>
    </xdr:from>
    <xdr:to>
      <xdr:col>15</xdr:col>
      <xdr:colOff>361950</xdr:colOff>
      <xdr:row>39</xdr:row>
      <xdr:rowOff>28575</xdr:rowOff>
    </xdr:to>
    <xdr:sp macro="" textlink="">
      <xdr:nvSpPr>
        <xdr:cNvPr id="2071493" name="Text Box 172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352425</xdr:colOff>
      <xdr:row>38</xdr:row>
      <xdr:rowOff>0</xdr:rowOff>
    </xdr:from>
    <xdr:to>
      <xdr:col>15</xdr:col>
      <xdr:colOff>361950</xdr:colOff>
      <xdr:row>39</xdr:row>
      <xdr:rowOff>28575</xdr:rowOff>
    </xdr:to>
    <xdr:sp macro="" textlink="">
      <xdr:nvSpPr>
        <xdr:cNvPr id="2071494" name="Text Box 173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352425</xdr:colOff>
      <xdr:row>38</xdr:row>
      <xdr:rowOff>0</xdr:rowOff>
    </xdr:from>
    <xdr:to>
      <xdr:col>15</xdr:col>
      <xdr:colOff>361950</xdr:colOff>
      <xdr:row>39</xdr:row>
      <xdr:rowOff>28575</xdr:rowOff>
    </xdr:to>
    <xdr:sp macro="" textlink="">
      <xdr:nvSpPr>
        <xdr:cNvPr id="2071495" name="Text Box 174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352425</xdr:colOff>
      <xdr:row>38</xdr:row>
      <xdr:rowOff>0</xdr:rowOff>
    </xdr:from>
    <xdr:to>
      <xdr:col>15</xdr:col>
      <xdr:colOff>361950</xdr:colOff>
      <xdr:row>39</xdr:row>
      <xdr:rowOff>28575</xdr:rowOff>
    </xdr:to>
    <xdr:sp macro="" textlink="">
      <xdr:nvSpPr>
        <xdr:cNvPr id="2071496" name="Text Box 175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352425</xdr:colOff>
      <xdr:row>38</xdr:row>
      <xdr:rowOff>0</xdr:rowOff>
    </xdr:from>
    <xdr:to>
      <xdr:col>15</xdr:col>
      <xdr:colOff>361950</xdr:colOff>
      <xdr:row>39</xdr:row>
      <xdr:rowOff>28575</xdr:rowOff>
    </xdr:to>
    <xdr:sp macro="" textlink="">
      <xdr:nvSpPr>
        <xdr:cNvPr id="2071497" name="Text Box 198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352425</xdr:colOff>
      <xdr:row>38</xdr:row>
      <xdr:rowOff>0</xdr:rowOff>
    </xdr:from>
    <xdr:to>
      <xdr:col>15</xdr:col>
      <xdr:colOff>361950</xdr:colOff>
      <xdr:row>39</xdr:row>
      <xdr:rowOff>28575</xdr:rowOff>
    </xdr:to>
    <xdr:sp macro="" textlink="">
      <xdr:nvSpPr>
        <xdr:cNvPr id="2071498" name="Text Box 199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352425</xdr:colOff>
      <xdr:row>38</xdr:row>
      <xdr:rowOff>0</xdr:rowOff>
    </xdr:from>
    <xdr:to>
      <xdr:col>15</xdr:col>
      <xdr:colOff>361950</xdr:colOff>
      <xdr:row>39</xdr:row>
      <xdr:rowOff>28575</xdr:rowOff>
    </xdr:to>
    <xdr:sp macro="" textlink="">
      <xdr:nvSpPr>
        <xdr:cNvPr id="2071499" name="Text Box 200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352425</xdr:colOff>
      <xdr:row>38</xdr:row>
      <xdr:rowOff>0</xdr:rowOff>
    </xdr:from>
    <xdr:to>
      <xdr:col>15</xdr:col>
      <xdr:colOff>361950</xdr:colOff>
      <xdr:row>39</xdr:row>
      <xdr:rowOff>28575</xdr:rowOff>
    </xdr:to>
    <xdr:sp macro="" textlink="">
      <xdr:nvSpPr>
        <xdr:cNvPr id="2071500" name="Text Box 20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352425</xdr:colOff>
      <xdr:row>38</xdr:row>
      <xdr:rowOff>0</xdr:rowOff>
    </xdr:from>
    <xdr:to>
      <xdr:col>15</xdr:col>
      <xdr:colOff>361950</xdr:colOff>
      <xdr:row>39</xdr:row>
      <xdr:rowOff>28575</xdr:rowOff>
    </xdr:to>
    <xdr:sp macro="" textlink="">
      <xdr:nvSpPr>
        <xdr:cNvPr id="2071501" name="Text Box 202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352425</xdr:colOff>
      <xdr:row>38</xdr:row>
      <xdr:rowOff>0</xdr:rowOff>
    </xdr:from>
    <xdr:to>
      <xdr:col>15</xdr:col>
      <xdr:colOff>361950</xdr:colOff>
      <xdr:row>39</xdr:row>
      <xdr:rowOff>28575</xdr:rowOff>
    </xdr:to>
    <xdr:sp macro="" textlink="">
      <xdr:nvSpPr>
        <xdr:cNvPr id="2071502" name="Text Box 203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352425</xdr:colOff>
      <xdr:row>38</xdr:row>
      <xdr:rowOff>0</xdr:rowOff>
    </xdr:from>
    <xdr:to>
      <xdr:col>15</xdr:col>
      <xdr:colOff>361950</xdr:colOff>
      <xdr:row>39</xdr:row>
      <xdr:rowOff>28575</xdr:rowOff>
    </xdr:to>
    <xdr:sp macro="" textlink="">
      <xdr:nvSpPr>
        <xdr:cNvPr id="2071503" name="Text Box 204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352425</xdr:colOff>
      <xdr:row>38</xdr:row>
      <xdr:rowOff>0</xdr:rowOff>
    </xdr:from>
    <xdr:to>
      <xdr:col>15</xdr:col>
      <xdr:colOff>361950</xdr:colOff>
      <xdr:row>39</xdr:row>
      <xdr:rowOff>28575</xdr:rowOff>
    </xdr:to>
    <xdr:sp macro="" textlink="">
      <xdr:nvSpPr>
        <xdr:cNvPr id="2071504" name="Text Box 260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352425</xdr:colOff>
      <xdr:row>38</xdr:row>
      <xdr:rowOff>0</xdr:rowOff>
    </xdr:from>
    <xdr:to>
      <xdr:col>15</xdr:col>
      <xdr:colOff>361950</xdr:colOff>
      <xdr:row>39</xdr:row>
      <xdr:rowOff>28575</xdr:rowOff>
    </xdr:to>
    <xdr:sp macro="" textlink="">
      <xdr:nvSpPr>
        <xdr:cNvPr id="2071505" name="Text Box 26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352425</xdr:colOff>
      <xdr:row>38</xdr:row>
      <xdr:rowOff>0</xdr:rowOff>
    </xdr:from>
    <xdr:to>
      <xdr:col>15</xdr:col>
      <xdr:colOff>361950</xdr:colOff>
      <xdr:row>39</xdr:row>
      <xdr:rowOff>28575</xdr:rowOff>
    </xdr:to>
    <xdr:sp macro="" textlink="">
      <xdr:nvSpPr>
        <xdr:cNvPr id="2071506" name="Text Box 97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352425</xdr:colOff>
      <xdr:row>38</xdr:row>
      <xdr:rowOff>0</xdr:rowOff>
    </xdr:from>
    <xdr:to>
      <xdr:col>15</xdr:col>
      <xdr:colOff>361950</xdr:colOff>
      <xdr:row>39</xdr:row>
      <xdr:rowOff>28575</xdr:rowOff>
    </xdr:to>
    <xdr:sp macro="" textlink="">
      <xdr:nvSpPr>
        <xdr:cNvPr id="2071507" name="Text Box 972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352425</xdr:colOff>
      <xdr:row>38</xdr:row>
      <xdr:rowOff>0</xdr:rowOff>
    </xdr:from>
    <xdr:to>
      <xdr:col>15</xdr:col>
      <xdr:colOff>361950</xdr:colOff>
      <xdr:row>39</xdr:row>
      <xdr:rowOff>28575</xdr:rowOff>
    </xdr:to>
    <xdr:sp macro="" textlink="">
      <xdr:nvSpPr>
        <xdr:cNvPr id="2071508" name="Text Box 973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352425</xdr:colOff>
      <xdr:row>38</xdr:row>
      <xdr:rowOff>0</xdr:rowOff>
    </xdr:from>
    <xdr:to>
      <xdr:col>15</xdr:col>
      <xdr:colOff>361950</xdr:colOff>
      <xdr:row>39</xdr:row>
      <xdr:rowOff>28575</xdr:rowOff>
    </xdr:to>
    <xdr:sp macro="" textlink="">
      <xdr:nvSpPr>
        <xdr:cNvPr id="2071509" name="Text Box 974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295275</xdr:colOff>
      <xdr:row>38</xdr:row>
      <xdr:rowOff>0</xdr:rowOff>
    </xdr:from>
    <xdr:to>
      <xdr:col>15</xdr:col>
      <xdr:colOff>400050</xdr:colOff>
      <xdr:row>39</xdr:row>
      <xdr:rowOff>28575</xdr:rowOff>
    </xdr:to>
    <xdr:sp macro="" textlink="">
      <xdr:nvSpPr>
        <xdr:cNvPr id="2071510" name="Text Box 168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295275</xdr:colOff>
      <xdr:row>38</xdr:row>
      <xdr:rowOff>0</xdr:rowOff>
    </xdr:from>
    <xdr:to>
      <xdr:col>15</xdr:col>
      <xdr:colOff>400050</xdr:colOff>
      <xdr:row>39</xdr:row>
      <xdr:rowOff>28575</xdr:rowOff>
    </xdr:to>
    <xdr:sp macro="" textlink="">
      <xdr:nvSpPr>
        <xdr:cNvPr id="2071511" name="Text Box 169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295275</xdr:colOff>
      <xdr:row>38</xdr:row>
      <xdr:rowOff>0</xdr:rowOff>
    </xdr:from>
    <xdr:to>
      <xdr:col>15</xdr:col>
      <xdr:colOff>400050</xdr:colOff>
      <xdr:row>39</xdr:row>
      <xdr:rowOff>28575</xdr:rowOff>
    </xdr:to>
    <xdr:sp macro="" textlink="">
      <xdr:nvSpPr>
        <xdr:cNvPr id="2071512" name="Text Box 170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295275</xdr:colOff>
      <xdr:row>38</xdr:row>
      <xdr:rowOff>0</xdr:rowOff>
    </xdr:from>
    <xdr:to>
      <xdr:col>15</xdr:col>
      <xdr:colOff>400050</xdr:colOff>
      <xdr:row>39</xdr:row>
      <xdr:rowOff>28575</xdr:rowOff>
    </xdr:to>
    <xdr:sp macro="" textlink="">
      <xdr:nvSpPr>
        <xdr:cNvPr id="2071513" name="Text Box 17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295275</xdr:colOff>
      <xdr:row>38</xdr:row>
      <xdr:rowOff>0</xdr:rowOff>
    </xdr:from>
    <xdr:to>
      <xdr:col>15</xdr:col>
      <xdr:colOff>400050</xdr:colOff>
      <xdr:row>39</xdr:row>
      <xdr:rowOff>28575</xdr:rowOff>
    </xdr:to>
    <xdr:sp macro="" textlink="">
      <xdr:nvSpPr>
        <xdr:cNvPr id="2071514" name="Text Box 172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295275</xdr:colOff>
      <xdr:row>38</xdr:row>
      <xdr:rowOff>0</xdr:rowOff>
    </xdr:from>
    <xdr:to>
      <xdr:col>15</xdr:col>
      <xdr:colOff>400050</xdr:colOff>
      <xdr:row>39</xdr:row>
      <xdr:rowOff>28575</xdr:rowOff>
    </xdr:to>
    <xdr:sp macro="" textlink="">
      <xdr:nvSpPr>
        <xdr:cNvPr id="2071515" name="Text Box 173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295275</xdr:colOff>
      <xdr:row>38</xdr:row>
      <xdr:rowOff>0</xdr:rowOff>
    </xdr:from>
    <xdr:to>
      <xdr:col>15</xdr:col>
      <xdr:colOff>400050</xdr:colOff>
      <xdr:row>39</xdr:row>
      <xdr:rowOff>28575</xdr:rowOff>
    </xdr:to>
    <xdr:sp macro="" textlink="">
      <xdr:nvSpPr>
        <xdr:cNvPr id="2071516" name="Text Box 174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295275</xdr:colOff>
      <xdr:row>38</xdr:row>
      <xdr:rowOff>0</xdr:rowOff>
    </xdr:from>
    <xdr:to>
      <xdr:col>15</xdr:col>
      <xdr:colOff>400050</xdr:colOff>
      <xdr:row>39</xdr:row>
      <xdr:rowOff>28575</xdr:rowOff>
    </xdr:to>
    <xdr:sp macro="" textlink="">
      <xdr:nvSpPr>
        <xdr:cNvPr id="2071517" name="Text Box 175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295275</xdr:colOff>
      <xdr:row>38</xdr:row>
      <xdr:rowOff>0</xdr:rowOff>
    </xdr:from>
    <xdr:to>
      <xdr:col>15</xdr:col>
      <xdr:colOff>400050</xdr:colOff>
      <xdr:row>39</xdr:row>
      <xdr:rowOff>28575</xdr:rowOff>
    </xdr:to>
    <xdr:sp macro="" textlink="">
      <xdr:nvSpPr>
        <xdr:cNvPr id="2071518" name="Text Box 198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295275</xdr:colOff>
      <xdr:row>38</xdr:row>
      <xdr:rowOff>0</xdr:rowOff>
    </xdr:from>
    <xdr:to>
      <xdr:col>15</xdr:col>
      <xdr:colOff>400050</xdr:colOff>
      <xdr:row>39</xdr:row>
      <xdr:rowOff>28575</xdr:rowOff>
    </xdr:to>
    <xdr:sp macro="" textlink="">
      <xdr:nvSpPr>
        <xdr:cNvPr id="2071519" name="Text Box 199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295275</xdr:colOff>
      <xdr:row>38</xdr:row>
      <xdr:rowOff>0</xdr:rowOff>
    </xdr:from>
    <xdr:to>
      <xdr:col>15</xdr:col>
      <xdr:colOff>400050</xdr:colOff>
      <xdr:row>39</xdr:row>
      <xdr:rowOff>28575</xdr:rowOff>
    </xdr:to>
    <xdr:sp macro="" textlink="">
      <xdr:nvSpPr>
        <xdr:cNvPr id="2071520" name="Text Box 200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295275</xdr:colOff>
      <xdr:row>38</xdr:row>
      <xdr:rowOff>0</xdr:rowOff>
    </xdr:from>
    <xdr:to>
      <xdr:col>15</xdr:col>
      <xdr:colOff>400050</xdr:colOff>
      <xdr:row>39</xdr:row>
      <xdr:rowOff>28575</xdr:rowOff>
    </xdr:to>
    <xdr:sp macro="" textlink="">
      <xdr:nvSpPr>
        <xdr:cNvPr id="2071521" name="Text Box 20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295275</xdr:colOff>
      <xdr:row>38</xdr:row>
      <xdr:rowOff>0</xdr:rowOff>
    </xdr:from>
    <xdr:to>
      <xdr:col>15</xdr:col>
      <xdr:colOff>400050</xdr:colOff>
      <xdr:row>39</xdr:row>
      <xdr:rowOff>28575</xdr:rowOff>
    </xdr:to>
    <xdr:sp macro="" textlink="">
      <xdr:nvSpPr>
        <xdr:cNvPr id="2071522" name="Text Box 202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295275</xdr:colOff>
      <xdr:row>38</xdr:row>
      <xdr:rowOff>0</xdr:rowOff>
    </xdr:from>
    <xdr:to>
      <xdr:col>15</xdr:col>
      <xdr:colOff>400050</xdr:colOff>
      <xdr:row>39</xdr:row>
      <xdr:rowOff>28575</xdr:rowOff>
    </xdr:to>
    <xdr:sp macro="" textlink="">
      <xdr:nvSpPr>
        <xdr:cNvPr id="2071523" name="Text Box 203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295275</xdr:colOff>
      <xdr:row>38</xdr:row>
      <xdr:rowOff>0</xdr:rowOff>
    </xdr:from>
    <xdr:to>
      <xdr:col>15</xdr:col>
      <xdr:colOff>400050</xdr:colOff>
      <xdr:row>39</xdr:row>
      <xdr:rowOff>28575</xdr:rowOff>
    </xdr:to>
    <xdr:sp macro="" textlink="">
      <xdr:nvSpPr>
        <xdr:cNvPr id="2071524" name="Text Box 204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295275</xdr:colOff>
      <xdr:row>38</xdr:row>
      <xdr:rowOff>0</xdr:rowOff>
    </xdr:from>
    <xdr:to>
      <xdr:col>15</xdr:col>
      <xdr:colOff>400050</xdr:colOff>
      <xdr:row>39</xdr:row>
      <xdr:rowOff>28575</xdr:rowOff>
    </xdr:to>
    <xdr:sp macro="" textlink="">
      <xdr:nvSpPr>
        <xdr:cNvPr id="2071525" name="Text Box 260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295275</xdr:colOff>
      <xdr:row>38</xdr:row>
      <xdr:rowOff>0</xdr:rowOff>
    </xdr:from>
    <xdr:to>
      <xdr:col>15</xdr:col>
      <xdr:colOff>400050</xdr:colOff>
      <xdr:row>39</xdr:row>
      <xdr:rowOff>28575</xdr:rowOff>
    </xdr:to>
    <xdr:sp macro="" textlink="">
      <xdr:nvSpPr>
        <xdr:cNvPr id="2071526" name="Text Box 26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295275</xdr:colOff>
      <xdr:row>38</xdr:row>
      <xdr:rowOff>0</xdr:rowOff>
    </xdr:from>
    <xdr:to>
      <xdr:col>15</xdr:col>
      <xdr:colOff>400050</xdr:colOff>
      <xdr:row>39</xdr:row>
      <xdr:rowOff>28575</xdr:rowOff>
    </xdr:to>
    <xdr:sp macro="" textlink="">
      <xdr:nvSpPr>
        <xdr:cNvPr id="2071527" name="Text Box 97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295275</xdr:colOff>
      <xdr:row>38</xdr:row>
      <xdr:rowOff>0</xdr:rowOff>
    </xdr:from>
    <xdr:to>
      <xdr:col>15</xdr:col>
      <xdr:colOff>400050</xdr:colOff>
      <xdr:row>39</xdr:row>
      <xdr:rowOff>28575</xdr:rowOff>
    </xdr:to>
    <xdr:sp macro="" textlink="">
      <xdr:nvSpPr>
        <xdr:cNvPr id="2071528" name="Text Box 972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295275</xdr:colOff>
      <xdr:row>38</xdr:row>
      <xdr:rowOff>0</xdr:rowOff>
    </xdr:from>
    <xdr:to>
      <xdr:col>15</xdr:col>
      <xdr:colOff>400050</xdr:colOff>
      <xdr:row>39</xdr:row>
      <xdr:rowOff>28575</xdr:rowOff>
    </xdr:to>
    <xdr:sp macro="" textlink="">
      <xdr:nvSpPr>
        <xdr:cNvPr id="2071529" name="Text Box 973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295275</xdr:colOff>
      <xdr:row>38</xdr:row>
      <xdr:rowOff>0</xdr:rowOff>
    </xdr:from>
    <xdr:to>
      <xdr:col>15</xdr:col>
      <xdr:colOff>400050</xdr:colOff>
      <xdr:row>39</xdr:row>
      <xdr:rowOff>28575</xdr:rowOff>
    </xdr:to>
    <xdr:sp macro="" textlink="">
      <xdr:nvSpPr>
        <xdr:cNvPr id="2071530" name="Text Box 974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352425</xdr:colOff>
      <xdr:row>38</xdr:row>
      <xdr:rowOff>0</xdr:rowOff>
    </xdr:from>
    <xdr:to>
      <xdr:col>16</xdr:col>
      <xdr:colOff>361950</xdr:colOff>
      <xdr:row>39</xdr:row>
      <xdr:rowOff>28575</xdr:rowOff>
    </xdr:to>
    <xdr:sp macro="" textlink="">
      <xdr:nvSpPr>
        <xdr:cNvPr id="2071531" name="Text Box 168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352425</xdr:colOff>
      <xdr:row>38</xdr:row>
      <xdr:rowOff>0</xdr:rowOff>
    </xdr:from>
    <xdr:to>
      <xdr:col>16</xdr:col>
      <xdr:colOff>361950</xdr:colOff>
      <xdr:row>39</xdr:row>
      <xdr:rowOff>28575</xdr:rowOff>
    </xdr:to>
    <xdr:sp macro="" textlink="">
      <xdr:nvSpPr>
        <xdr:cNvPr id="2071532" name="Text Box 169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352425</xdr:colOff>
      <xdr:row>38</xdr:row>
      <xdr:rowOff>0</xdr:rowOff>
    </xdr:from>
    <xdr:to>
      <xdr:col>16</xdr:col>
      <xdr:colOff>361950</xdr:colOff>
      <xdr:row>39</xdr:row>
      <xdr:rowOff>28575</xdr:rowOff>
    </xdr:to>
    <xdr:sp macro="" textlink="">
      <xdr:nvSpPr>
        <xdr:cNvPr id="2071533" name="Text Box 170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352425</xdr:colOff>
      <xdr:row>38</xdr:row>
      <xdr:rowOff>0</xdr:rowOff>
    </xdr:from>
    <xdr:to>
      <xdr:col>16</xdr:col>
      <xdr:colOff>361950</xdr:colOff>
      <xdr:row>39</xdr:row>
      <xdr:rowOff>28575</xdr:rowOff>
    </xdr:to>
    <xdr:sp macro="" textlink="">
      <xdr:nvSpPr>
        <xdr:cNvPr id="2071534" name="Text Box 17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352425</xdr:colOff>
      <xdr:row>38</xdr:row>
      <xdr:rowOff>0</xdr:rowOff>
    </xdr:from>
    <xdr:to>
      <xdr:col>16</xdr:col>
      <xdr:colOff>361950</xdr:colOff>
      <xdr:row>39</xdr:row>
      <xdr:rowOff>28575</xdr:rowOff>
    </xdr:to>
    <xdr:sp macro="" textlink="">
      <xdr:nvSpPr>
        <xdr:cNvPr id="2071535" name="Text Box 172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352425</xdr:colOff>
      <xdr:row>38</xdr:row>
      <xdr:rowOff>0</xdr:rowOff>
    </xdr:from>
    <xdr:to>
      <xdr:col>16</xdr:col>
      <xdr:colOff>361950</xdr:colOff>
      <xdr:row>39</xdr:row>
      <xdr:rowOff>28575</xdr:rowOff>
    </xdr:to>
    <xdr:sp macro="" textlink="">
      <xdr:nvSpPr>
        <xdr:cNvPr id="2071536" name="Text Box 173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352425</xdr:colOff>
      <xdr:row>38</xdr:row>
      <xdr:rowOff>0</xdr:rowOff>
    </xdr:from>
    <xdr:to>
      <xdr:col>16</xdr:col>
      <xdr:colOff>361950</xdr:colOff>
      <xdr:row>39</xdr:row>
      <xdr:rowOff>28575</xdr:rowOff>
    </xdr:to>
    <xdr:sp macro="" textlink="">
      <xdr:nvSpPr>
        <xdr:cNvPr id="2071537" name="Text Box 174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352425</xdr:colOff>
      <xdr:row>38</xdr:row>
      <xdr:rowOff>0</xdr:rowOff>
    </xdr:from>
    <xdr:to>
      <xdr:col>16</xdr:col>
      <xdr:colOff>361950</xdr:colOff>
      <xdr:row>39</xdr:row>
      <xdr:rowOff>28575</xdr:rowOff>
    </xdr:to>
    <xdr:sp macro="" textlink="">
      <xdr:nvSpPr>
        <xdr:cNvPr id="2071538" name="Text Box 175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352425</xdr:colOff>
      <xdr:row>38</xdr:row>
      <xdr:rowOff>0</xdr:rowOff>
    </xdr:from>
    <xdr:to>
      <xdr:col>16</xdr:col>
      <xdr:colOff>361950</xdr:colOff>
      <xdr:row>39</xdr:row>
      <xdr:rowOff>28575</xdr:rowOff>
    </xdr:to>
    <xdr:sp macro="" textlink="">
      <xdr:nvSpPr>
        <xdr:cNvPr id="2071539" name="Text Box 198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352425</xdr:colOff>
      <xdr:row>38</xdr:row>
      <xdr:rowOff>0</xdr:rowOff>
    </xdr:from>
    <xdr:to>
      <xdr:col>16</xdr:col>
      <xdr:colOff>361950</xdr:colOff>
      <xdr:row>39</xdr:row>
      <xdr:rowOff>28575</xdr:rowOff>
    </xdr:to>
    <xdr:sp macro="" textlink="">
      <xdr:nvSpPr>
        <xdr:cNvPr id="2071540" name="Text Box 199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352425</xdr:colOff>
      <xdr:row>38</xdr:row>
      <xdr:rowOff>0</xdr:rowOff>
    </xdr:from>
    <xdr:to>
      <xdr:col>16</xdr:col>
      <xdr:colOff>361950</xdr:colOff>
      <xdr:row>39</xdr:row>
      <xdr:rowOff>28575</xdr:rowOff>
    </xdr:to>
    <xdr:sp macro="" textlink="">
      <xdr:nvSpPr>
        <xdr:cNvPr id="2071541" name="Text Box 200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352425</xdr:colOff>
      <xdr:row>38</xdr:row>
      <xdr:rowOff>0</xdr:rowOff>
    </xdr:from>
    <xdr:to>
      <xdr:col>16</xdr:col>
      <xdr:colOff>361950</xdr:colOff>
      <xdr:row>39</xdr:row>
      <xdr:rowOff>28575</xdr:rowOff>
    </xdr:to>
    <xdr:sp macro="" textlink="">
      <xdr:nvSpPr>
        <xdr:cNvPr id="2071542" name="Text Box 20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352425</xdr:colOff>
      <xdr:row>38</xdr:row>
      <xdr:rowOff>0</xdr:rowOff>
    </xdr:from>
    <xdr:to>
      <xdr:col>16</xdr:col>
      <xdr:colOff>361950</xdr:colOff>
      <xdr:row>39</xdr:row>
      <xdr:rowOff>28575</xdr:rowOff>
    </xdr:to>
    <xdr:sp macro="" textlink="">
      <xdr:nvSpPr>
        <xdr:cNvPr id="2071543" name="Text Box 202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352425</xdr:colOff>
      <xdr:row>38</xdr:row>
      <xdr:rowOff>0</xdr:rowOff>
    </xdr:from>
    <xdr:to>
      <xdr:col>16</xdr:col>
      <xdr:colOff>361950</xdr:colOff>
      <xdr:row>39</xdr:row>
      <xdr:rowOff>28575</xdr:rowOff>
    </xdr:to>
    <xdr:sp macro="" textlink="">
      <xdr:nvSpPr>
        <xdr:cNvPr id="2071544" name="Text Box 203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352425</xdr:colOff>
      <xdr:row>38</xdr:row>
      <xdr:rowOff>0</xdr:rowOff>
    </xdr:from>
    <xdr:to>
      <xdr:col>16</xdr:col>
      <xdr:colOff>361950</xdr:colOff>
      <xdr:row>39</xdr:row>
      <xdr:rowOff>28575</xdr:rowOff>
    </xdr:to>
    <xdr:sp macro="" textlink="">
      <xdr:nvSpPr>
        <xdr:cNvPr id="2071545" name="Text Box 204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352425</xdr:colOff>
      <xdr:row>38</xdr:row>
      <xdr:rowOff>0</xdr:rowOff>
    </xdr:from>
    <xdr:to>
      <xdr:col>16</xdr:col>
      <xdr:colOff>361950</xdr:colOff>
      <xdr:row>39</xdr:row>
      <xdr:rowOff>28575</xdr:rowOff>
    </xdr:to>
    <xdr:sp macro="" textlink="">
      <xdr:nvSpPr>
        <xdr:cNvPr id="2071546" name="Text Box 260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352425</xdr:colOff>
      <xdr:row>38</xdr:row>
      <xdr:rowOff>0</xdr:rowOff>
    </xdr:from>
    <xdr:to>
      <xdr:col>16</xdr:col>
      <xdr:colOff>361950</xdr:colOff>
      <xdr:row>39</xdr:row>
      <xdr:rowOff>28575</xdr:rowOff>
    </xdr:to>
    <xdr:sp macro="" textlink="">
      <xdr:nvSpPr>
        <xdr:cNvPr id="2071547" name="Text Box 26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352425</xdr:colOff>
      <xdr:row>38</xdr:row>
      <xdr:rowOff>0</xdr:rowOff>
    </xdr:from>
    <xdr:to>
      <xdr:col>16</xdr:col>
      <xdr:colOff>361950</xdr:colOff>
      <xdr:row>39</xdr:row>
      <xdr:rowOff>28575</xdr:rowOff>
    </xdr:to>
    <xdr:sp macro="" textlink="">
      <xdr:nvSpPr>
        <xdr:cNvPr id="2071548" name="Text Box 97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352425</xdr:colOff>
      <xdr:row>38</xdr:row>
      <xdr:rowOff>0</xdr:rowOff>
    </xdr:from>
    <xdr:to>
      <xdr:col>16</xdr:col>
      <xdr:colOff>361950</xdr:colOff>
      <xdr:row>39</xdr:row>
      <xdr:rowOff>28575</xdr:rowOff>
    </xdr:to>
    <xdr:sp macro="" textlink="">
      <xdr:nvSpPr>
        <xdr:cNvPr id="2071549" name="Text Box 972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352425</xdr:colOff>
      <xdr:row>38</xdr:row>
      <xdr:rowOff>0</xdr:rowOff>
    </xdr:from>
    <xdr:to>
      <xdr:col>16</xdr:col>
      <xdr:colOff>361950</xdr:colOff>
      <xdr:row>39</xdr:row>
      <xdr:rowOff>28575</xdr:rowOff>
    </xdr:to>
    <xdr:sp macro="" textlink="">
      <xdr:nvSpPr>
        <xdr:cNvPr id="2071550" name="Text Box 973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352425</xdr:colOff>
      <xdr:row>38</xdr:row>
      <xdr:rowOff>0</xdr:rowOff>
    </xdr:from>
    <xdr:to>
      <xdr:col>16</xdr:col>
      <xdr:colOff>361950</xdr:colOff>
      <xdr:row>39</xdr:row>
      <xdr:rowOff>28575</xdr:rowOff>
    </xdr:to>
    <xdr:sp macro="" textlink="">
      <xdr:nvSpPr>
        <xdr:cNvPr id="2071551" name="Text Box 974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295275</xdr:colOff>
      <xdr:row>38</xdr:row>
      <xdr:rowOff>0</xdr:rowOff>
    </xdr:from>
    <xdr:to>
      <xdr:col>16</xdr:col>
      <xdr:colOff>400050</xdr:colOff>
      <xdr:row>39</xdr:row>
      <xdr:rowOff>28575</xdr:rowOff>
    </xdr:to>
    <xdr:sp macro="" textlink="">
      <xdr:nvSpPr>
        <xdr:cNvPr id="2071552" name="Text Box 168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295275</xdr:colOff>
      <xdr:row>38</xdr:row>
      <xdr:rowOff>0</xdr:rowOff>
    </xdr:from>
    <xdr:to>
      <xdr:col>16</xdr:col>
      <xdr:colOff>400050</xdr:colOff>
      <xdr:row>39</xdr:row>
      <xdr:rowOff>28575</xdr:rowOff>
    </xdr:to>
    <xdr:sp macro="" textlink="">
      <xdr:nvSpPr>
        <xdr:cNvPr id="2071553" name="Text Box 169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295275</xdr:colOff>
      <xdr:row>38</xdr:row>
      <xdr:rowOff>0</xdr:rowOff>
    </xdr:from>
    <xdr:to>
      <xdr:col>16</xdr:col>
      <xdr:colOff>400050</xdr:colOff>
      <xdr:row>39</xdr:row>
      <xdr:rowOff>28575</xdr:rowOff>
    </xdr:to>
    <xdr:sp macro="" textlink="">
      <xdr:nvSpPr>
        <xdr:cNvPr id="2071554" name="Text Box 170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295275</xdr:colOff>
      <xdr:row>38</xdr:row>
      <xdr:rowOff>0</xdr:rowOff>
    </xdr:from>
    <xdr:to>
      <xdr:col>16</xdr:col>
      <xdr:colOff>400050</xdr:colOff>
      <xdr:row>39</xdr:row>
      <xdr:rowOff>28575</xdr:rowOff>
    </xdr:to>
    <xdr:sp macro="" textlink="">
      <xdr:nvSpPr>
        <xdr:cNvPr id="2071555" name="Text Box 17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295275</xdr:colOff>
      <xdr:row>38</xdr:row>
      <xdr:rowOff>0</xdr:rowOff>
    </xdr:from>
    <xdr:to>
      <xdr:col>16</xdr:col>
      <xdr:colOff>400050</xdr:colOff>
      <xdr:row>39</xdr:row>
      <xdr:rowOff>28575</xdr:rowOff>
    </xdr:to>
    <xdr:sp macro="" textlink="">
      <xdr:nvSpPr>
        <xdr:cNvPr id="2071556" name="Text Box 172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295275</xdr:colOff>
      <xdr:row>38</xdr:row>
      <xdr:rowOff>0</xdr:rowOff>
    </xdr:from>
    <xdr:to>
      <xdr:col>16</xdr:col>
      <xdr:colOff>400050</xdr:colOff>
      <xdr:row>39</xdr:row>
      <xdr:rowOff>28575</xdr:rowOff>
    </xdr:to>
    <xdr:sp macro="" textlink="">
      <xdr:nvSpPr>
        <xdr:cNvPr id="2071557" name="Text Box 173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295275</xdr:colOff>
      <xdr:row>38</xdr:row>
      <xdr:rowOff>0</xdr:rowOff>
    </xdr:from>
    <xdr:to>
      <xdr:col>16</xdr:col>
      <xdr:colOff>400050</xdr:colOff>
      <xdr:row>39</xdr:row>
      <xdr:rowOff>28575</xdr:rowOff>
    </xdr:to>
    <xdr:sp macro="" textlink="">
      <xdr:nvSpPr>
        <xdr:cNvPr id="2071558" name="Text Box 174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295275</xdr:colOff>
      <xdr:row>38</xdr:row>
      <xdr:rowOff>0</xdr:rowOff>
    </xdr:from>
    <xdr:to>
      <xdr:col>16</xdr:col>
      <xdr:colOff>400050</xdr:colOff>
      <xdr:row>39</xdr:row>
      <xdr:rowOff>28575</xdr:rowOff>
    </xdr:to>
    <xdr:sp macro="" textlink="">
      <xdr:nvSpPr>
        <xdr:cNvPr id="2071559" name="Text Box 175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295275</xdr:colOff>
      <xdr:row>38</xdr:row>
      <xdr:rowOff>0</xdr:rowOff>
    </xdr:from>
    <xdr:to>
      <xdr:col>16</xdr:col>
      <xdr:colOff>400050</xdr:colOff>
      <xdr:row>39</xdr:row>
      <xdr:rowOff>28575</xdr:rowOff>
    </xdr:to>
    <xdr:sp macro="" textlink="">
      <xdr:nvSpPr>
        <xdr:cNvPr id="2071560" name="Text Box 198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295275</xdr:colOff>
      <xdr:row>38</xdr:row>
      <xdr:rowOff>0</xdr:rowOff>
    </xdr:from>
    <xdr:to>
      <xdr:col>16</xdr:col>
      <xdr:colOff>400050</xdr:colOff>
      <xdr:row>39</xdr:row>
      <xdr:rowOff>28575</xdr:rowOff>
    </xdr:to>
    <xdr:sp macro="" textlink="">
      <xdr:nvSpPr>
        <xdr:cNvPr id="2071561" name="Text Box 199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295275</xdr:colOff>
      <xdr:row>38</xdr:row>
      <xdr:rowOff>0</xdr:rowOff>
    </xdr:from>
    <xdr:to>
      <xdr:col>16</xdr:col>
      <xdr:colOff>400050</xdr:colOff>
      <xdr:row>39</xdr:row>
      <xdr:rowOff>28575</xdr:rowOff>
    </xdr:to>
    <xdr:sp macro="" textlink="">
      <xdr:nvSpPr>
        <xdr:cNvPr id="2071562" name="Text Box 200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295275</xdr:colOff>
      <xdr:row>38</xdr:row>
      <xdr:rowOff>0</xdr:rowOff>
    </xdr:from>
    <xdr:to>
      <xdr:col>16</xdr:col>
      <xdr:colOff>400050</xdr:colOff>
      <xdr:row>39</xdr:row>
      <xdr:rowOff>28575</xdr:rowOff>
    </xdr:to>
    <xdr:sp macro="" textlink="">
      <xdr:nvSpPr>
        <xdr:cNvPr id="2071563" name="Text Box 20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295275</xdr:colOff>
      <xdr:row>38</xdr:row>
      <xdr:rowOff>0</xdr:rowOff>
    </xdr:from>
    <xdr:to>
      <xdr:col>16</xdr:col>
      <xdr:colOff>400050</xdr:colOff>
      <xdr:row>39</xdr:row>
      <xdr:rowOff>28575</xdr:rowOff>
    </xdr:to>
    <xdr:sp macro="" textlink="">
      <xdr:nvSpPr>
        <xdr:cNvPr id="2071564" name="Text Box 202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295275</xdr:colOff>
      <xdr:row>38</xdr:row>
      <xdr:rowOff>0</xdr:rowOff>
    </xdr:from>
    <xdr:to>
      <xdr:col>16</xdr:col>
      <xdr:colOff>400050</xdr:colOff>
      <xdr:row>39</xdr:row>
      <xdr:rowOff>28575</xdr:rowOff>
    </xdr:to>
    <xdr:sp macro="" textlink="">
      <xdr:nvSpPr>
        <xdr:cNvPr id="2071565" name="Text Box 203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295275</xdr:colOff>
      <xdr:row>38</xdr:row>
      <xdr:rowOff>0</xdr:rowOff>
    </xdr:from>
    <xdr:to>
      <xdr:col>16</xdr:col>
      <xdr:colOff>400050</xdr:colOff>
      <xdr:row>39</xdr:row>
      <xdr:rowOff>28575</xdr:rowOff>
    </xdr:to>
    <xdr:sp macro="" textlink="">
      <xdr:nvSpPr>
        <xdr:cNvPr id="2071566" name="Text Box 204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295275</xdr:colOff>
      <xdr:row>38</xdr:row>
      <xdr:rowOff>0</xdr:rowOff>
    </xdr:from>
    <xdr:to>
      <xdr:col>16</xdr:col>
      <xdr:colOff>400050</xdr:colOff>
      <xdr:row>39</xdr:row>
      <xdr:rowOff>28575</xdr:rowOff>
    </xdr:to>
    <xdr:sp macro="" textlink="">
      <xdr:nvSpPr>
        <xdr:cNvPr id="2071567" name="Text Box 260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295275</xdr:colOff>
      <xdr:row>38</xdr:row>
      <xdr:rowOff>0</xdr:rowOff>
    </xdr:from>
    <xdr:to>
      <xdr:col>16</xdr:col>
      <xdr:colOff>400050</xdr:colOff>
      <xdr:row>39</xdr:row>
      <xdr:rowOff>28575</xdr:rowOff>
    </xdr:to>
    <xdr:sp macro="" textlink="">
      <xdr:nvSpPr>
        <xdr:cNvPr id="2071568" name="Text Box 26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295275</xdr:colOff>
      <xdr:row>38</xdr:row>
      <xdr:rowOff>0</xdr:rowOff>
    </xdr:from>
    <xdr:to>
      <xdr:col>16</xdr:col>
      <xdr:colOff>400050</xdr:colOff>
      <xdr:row>39</xdr:row>
      <xdr:rowOff>28575</xdr:rowOff>
    </xdr:to>
    <xdr:sp macro="" textlink="">
      <xdr:nvSpPr>
        <xdr:cNvPr id="2071569" name="Text Box 97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295275</xdr:colOff>
      <xdr:row>38</xdr:row>
      <xdr:rowOff>0</xdr:rowOff>
    </xdr:from>
    <xdr:to>
      <xdr:col>16</xdr:col>
      <xdr:colOff>400050</xdr:colOff>
      <xdr:row>39</xdr:row>
      <xdr:rowOff>28575</xdr:rowOff>
    </xdr:to>
    <xdr:sp macro="" textlink="">
      <xdr:nvSpPr>
        <xdr:cNvPr id="2071570" name="Text Box 972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295275</xdr:colOff>
      <xdr:row>38</xdr:row>
      <xdr:rowOff>0</xdr:rowOff>
    </xdr:from>
    <xdr:to>
      <xdr:col>16</xdr:col>
      <xdr:colOff>400050</xdr:colOff>
      <xdr:row>39</xdr:row>
      <xdr:rowOff>28575</xdr:rowOff>
    </xdr:to>
    <xdr:sp macro="" textlink="">
      <xdr:nvSpPr>
        <xdr:cNvPr id="2071571" name="Text Box 973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295275</xdr:colOff>
      <xdr:row>38</xdr:row>
      <xdr:rowOff>0</xdr:rowOff>
    </xdr:from>
    <xdr:to>
      <xdr:col>16</xdr:col>
      <xdr:colOff>400050</xdr:colOff>
      <xdr:row>39</xdr:row>
      <xdr:rowOff>28575</xdr:rowOff>
    </xdr:to>
    <xdr:sp macro="" textlink="">
      <xdr:nvSpPr>
        <xdr:cNvPr id="2071572" name="Text Box 974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352425</xdr:colOff>
      <xdr:row>38</xdr:row>
      <xdr:rowOff>0</xdr:rowOff>
    </xdr:from>
    <xdr:to>
      <xdr:col>15</xdr:col>
      <xdr:colOff>361950</xdr:colOff>
      <xdr:row>39</xdr:row>
      <xdr:rowOff>28575</xdr:rowOff>
    </xdr:to>
    <xdr:sp macro="" textlink="">
      <xdr:nvSpPr>
        <xdr:cNvPr id="2071573" name="Text Box 168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352425</xdr:colOff>
      <xdr:row>38</xdr:row>
      <xdr:rowOff>0</xdr:rowOff>
    </xdr:from>
    <xdr:to>
      <xdr:col>15</xdr:col>
      <xdr:colOff>361950</xdr:colOff>
      <xdr:row>39</xdr:row>
      <xdr:rowOff>28575</xdr:rowOff>
    </xdr:to>
    <xdr:sp macro="" textlink="">
      <xdr:nvSpPr>
        <xdr:cNvPr id="2071574" name="Text Box 169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352425</xdr:colOff>
      <xdr:row>38</xdr:row>
      <xdr:rowOff>0</xdr:rowOff>
    </xdr:from>
    <xdr:to>
      <xdr:col>15</xdr:col>
      <xdr:colOff>361950</xdr:colOff>
      <xdr:row>39</xdr:row>
      <xdr:rowOff>28575</xdr:rowOff>
    </xdr:to>
    <xdr:sp macro="" textlink="">
      <xdr:nvSpPr>
        <xdr:cNvPr id="2071575" name="Text Box 170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352425</xdr:colOff>
      <xdr:row>38</xdr:row>
      <xdr:rowOff>0</xdr:rowOff>
    </xdr:from>
    <xdr:to>
      <xdr:col>15</xdr:col>
      <xdr:colOff>361950</xdr:colOff>
      <xdr:row>39</xdr:row>
      <xdr:rowOff>28575</xdr:rowOff>
    </xdr:to>
    <xdr:sp macro="" textlink="">
      <xdr:nvSpPr>
        <xdr:cNvPr id="2071576" name="Text Box 17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352425</xdr:colOff>
      <xdr:row>38</xdr:row>
      <xdr:rowOff>0</xdr:rowOff>
    </xdr:from>
    <xdr:to>
      <xdr:col>15</xdr:col>
      <xdr:colOff>361950</xdr:colOff>
      <xdr:row>39</xdr:row>
      <xdr:rowOff>28575</xdr:rowOff>
    </xdr:to>
    <xdr:sp macro="" textlink="">
      <xdr:nvSpPr>
        <xdr:cNvPr id="2071577" name="Text Box 172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352425</xdr:colOff>
      <xdr:row>38</xdr:row>
      <xdr:rowOff>0</xdr:rowOff>
    </xdr:from>
    <xdr:to>
      <xdr:col>15</xdr:col>
      <xdr:colOff>361950</xdr:colOff>
      <xdr:row>39</xdr:row>
      <xdr:rowOff>28575</xdr:rowOff>
    </xdr:to>
    <xdr:sp macro="" textlink="">
      <xdr:nvSpPr>
        <xdr:cNvPr id="2071578" name="Text Box 173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352425</xdr:colOff>
      <xdr:row>38</xdr:row>
      <xdr:rowOff>0</xdr:rowOff>
    </xdr:from>
    <xdr:to>
      <xdr:col>15</xdr:col>
      <xdr:colOff>361950</xdr:colOff>
      <xdr:row>39</xdr:row>
      <xdr:rowOff>28575</xdr:rowOff>
    </xdr:to>
    <xdr:sp macro="" textlink="">
      <xdr:nvSpPr>
        <xdr:cNvPr id="2071579" name="Text Box 174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352425</xdr:colOff>
      <xdr:row>38</xdr:row>
      <xdr:rowOff>0</xdr:rowOff>
    </xdr:from>
    <xdr:to>
      <xdr:col>15</xdr:col>
      <xdr:colOff>361950</xdr:colOff>
      <xdr:row>39</xdr:row>
      <xdr:rowOff>28575</xdr:rowOff>
    </xdr:to>
    <xdr:sp macro="" textlink="">
      <xdr:nvSpPr>
        <xdr:cNvPr id="2071580" name="Text Box 175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352425</xdr:colOff>
      <xdr:row>38</xdr:row>
      <xdr:rowOff>0</xdr:rowOff>
    </xdr:from>
    <xdr:to>
      <xdr:col>15</xdr:col>
      <xdr:colOff>361950</xdr:colOff>
      <xdr:row>39</xdr:row>
      <xdr:rowOff>28575</xdr:rowOff>
    </xdr:to>
    <xdr:sp macro="" textlink="">
      <xdr:nvSpPr>
        <xdr:cNvPr id="2071581" name="Text Box 198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352425</xdr:colOff>
      <xdr:row>38</xdr:row>
      <xdr:rowOff>0</xdr:rowOff>
    </xdr:from>
    <xdr:to>
      <xdr:col>15</xdr:col>
      <xdr:colOff>361950</xdr:colOff>
      <xdr:row>39</xdr:row>
      <xdr:rowOff>28575</xdr:rowOff>
    </xdr:to>
    <xdr:sp macro="" textlink="">
      <xdr:nvSpPr>
        <xdr:cNvPr id="2071582" name="Text Box 199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352425</xdr:colOff>
      <xdr:row>38</xdr:row>
      <xdr:rowOff>0</xdr:rowOff>
    </xdr:from>
    <xdr:to>
      <xdr:col>15</xdr:col>
      <xdr:colOff>361950</xdr:colOff>
      <xdr:row>39</xdr:row>
      <xdr:rowOff>28575</xdr:rowOff>
    </xdr:to>
    <xdr:sp macro="" textlink="">
      <xdr:nvSpPr>
        <xdr:cNvPr id="2071583" name="Text Box 200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352425</xdr:colOff>
      <xdr:row>38</xdr:row>
      <xdr:rowOff>0</xdr:rowOff>
    </xdr:from>
    <xdr:to>
      <xdr:col>15</xdr:col>
      <xdr:colOff>361950</xdr:colOff>
      <xdr:row>39</xdr:row>
      <xdr:rowOff>28575</xdr:rowOff>
    </xdr:to>
    <xdr:sp macro="" textlink="">
      <xdr:nvSpPr>
        <xdr:cNvPr id="2071584" name="Text Box 20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352425</xdr:colOff>
      <xdr:row>38</xdr:row>
      <xdr:rowOff>0</xdr:rowOff>
    </xdr:from>
    <xdr:to>
      <xdr:col>15</xdr:col>
      <xdr:colOff>361950</xdr:colOff>
      <xdr:row>39</xdr:row>
      <xdr:rowOff>28575</xdr:rowOff>
    </xdr:to>
    <xdr:sp macro="" textlink="">
      <xdr:nvSpPr>
        <xdr:cNvPr id="2071585" name="Text Box 202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352425</xdr:colOff>
      <xdr:row>38</xdr:row>
      <xdr:rowOff>0</xdr:rowOff>
    </xdr:from>
    <xdr:to>
      <xdr:col>15</xdr:col>
      <xdr:colOff>361950</xdr:colOff>
      <xdr:row>39</xdr:row>
      <xdr:rowOff>28575</xdr:rowOff>
    </xdr:to>
    <xdr:sp macro="" textlink="">
      <xdr:nvSpPr>
        <xdr:cNvPr id="2071586" name="Text Box 203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352425</xdr:colOff>
      <xdr:row>38</xdr:row>
      <xdr:rowOff>0</xdr:rowOff>
    </xdr:from>
    <xdr:to>
      <xdr:col>15</xdr:col>
      <xdr:colOff>361950</xdr:colOff>
      <xdr:row>39</xdr:row>
      <xdr:rowOff>28575</xdr:rowOff>
    </xdr:to>
    <xdr:sp macro="" textlink="">
      <xdr:nvSpPr>
        <xdr:cNvPr id="2071587" name="Text Box 204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352425</xdr:colOff>
      <xdr:row>38</xdr:row>
      <xdr:rowOff>0</xdr:rowOff>
    </xdr:from>
    <xdr:to>
      <xdr:col>15</xdr:col>
      <xdr:colOff>361950</xdr:colOff>
      <xdr:row>39</xdr:row>
      <xdr:rowOff>28575</xdr:rowOff>
    </xdr:to>
    <xdr:sp macro="" textlink="">
      <xdr:nvSpPr>
        <xdr:cNvPr id="2071588" name="Text Box 260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352425</xdr:colOff>
      <xdr:row>38</xdr:row>
      <xdr:rowOff>0</xdr:rowOff>
    </xdr:from>
    <xdr:to>
      <xdr:col>15</xdr:col>
      <xdr:colOff>361950</xdr:colOff>
      <xdr:row>39</xdr:row>
      <xdr:rowOff>28575</xdr:rowOff>
    </xdr:to>
    <xdr:sp macro="" textlink="">
      <xdr:nvSpPr>
        <xdr:cNvPr id="2071589" name="Text Box 26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352425</xdr:colOff>
      <xdr:row>38</xdr:row>
      <xdr:rowOff>0</xdr:rowOff>
    </xdr:from>
    <xdr:to>
      <xdr:col>15</xdr:col>
      <xdr:colOff>361950</xdr:colOff>
      <xdr:row>39</xdr:row>
      <xdr:rowOff>28575</xdr:rowOff>
    </xdr:to>
    <xdr:sp macro="" textlink="">
      <xdr:nvSpPr>
        <xdr:cNvPr id="2071590" name="Text Box 97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352425</xdr:colOff>
      <xdr:row>38</xdr:row>
      <xdr:rowOff>0</xdr:rowOff>
    </xdr:from>
    <xdr:to>
      <xdr:col>15</xdr:col>
      <xdr:colOff>361950</xdr:colOff>
      <xdr:row>39</xdr:row>
      <xdr:rowOff>28575</xdr:rowOff>
    </xdr:to>
    <xdr:sp macro="" textlink="">
      <xdr:nvSpPr>
        <xdr:cNvPr id="2071591" name="Text Box 972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352425</xdr:colOff>
      <xdr:row>38</xdr:row>
      <xdr:rowOff>0</xdr:rowOff>
    </xdr:from>
    <xdr:to>
      <xdr:col>15</xdr:col>
      <xdr:colOff>361950</xdr:colOff>
      <xdr:row>39</xdr:row>
      <xdr:rowOff>28575</xdr:rowOff>
    </xdr:to>
    <xdr:sp macro="" textlink="">
      <xdr:nvSpPr>
        <xdr:cNvPr id="2071592" name="Text Box 973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352425</xdr:colOff>
      <xdr:row>38</xdr:row>
      <xdr:rowOff>0</xdr:rowOff>
    </xdr:from>
    <xdr:to>
      <xdr:col>15</xdr:col>
      <xdr:colOff>361950</xdr:colOff>
      <xdr:row>39</xdr:row>
      <xdr:rowOff>28575</xdr:rowOff>
    </xdr:to>
    <xdr:sp macro="" textlink="">
      <xdr:nvSpPr>
        <xdr:cNvPr id="2071593" name="Text Box 974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295275</xdr:colOff>
      <xdr:row>38</xdr:row>
      <xdr:rowOff>0</xdr:rowOff>
    </xdr:from>
    <xdr:to>
      <xdr:col>15</xdr:col>
      <xdr:colOff>400050</xdr:colOff>
      <xdr:row>39</xdr:row>
      <xdr:rowOff>28575</xdr:rowOff>
    </xdr:to>
    <xdr:sp macro="" textlink="">
      <xdr:nvSpPr>
        <xdr:cNvPr id="2071594" name="Text Box 168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295275</xdr:colOff>
      <xdr:row>38</xdr:row>
      <xdr:rowOff>0</xdr:rowOff>
    </xdr:from>
    <xdr:to>
      <xdr:col>15</xdr:col>
      <xdr:colOff>400050</xdr:colOff>
      <xdr:row>39</xdr:row>
      <xdr:rowOff>28575</xdr:rowOff>
    </xdr:to>
    <xdr:sp macro="" textlink="">
      <xdr:nvSpPr>
        <xdr:cNvPr id="2071595" name="Text Box 169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295275</xdr:colOff>
      <xdr:row>38</xdr:row>
      <xdr:rowOff>0</xdr:rowOff>
    </xdr:from>
    <xdr:to>
      <xdr:col>15</xdr:col>
      <xdr:colOff>400050</xdr:colOff>
      <xdr:row>39</xdr:row>
      <xdr:rowOff>28575</xdr:rowOff>
    </xdr:to>
    <xdr:sp macro="" textlink="">
      <xdr:nvSpPr>
        <xdr:cNvPr id="2071596" name="Text Box 170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295275</xdr:colOff>
      <xdr:row>38</xdr:row>
      <xdr:rowOff>0</xdr:rowOff>
    </xdr:from>
    <xdr:to>
      <xdr:col>15</xdr:col>
      <xdr:colOff>400050</xdr:colOff>
      <xdr:row>39</xdr:row>
      <xdr:rowOff>28575</xdr:rowOff>
    </xdr:to>
    <xdr:sp macro="" textlink="">
      <xdr:nvSpPr>
        <xdr:cNvPr id="2071597" name="Text Box 17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295275</xdr:colOff>
      <xdr:row>38</xdr:row>
      <xdr:rowOff>0</xdr:rowOff>
    </xdr:from>
    <xdr:to>
      <xdr:col>15</xdr:col>
      <xdr:colOff>400050</xdr:colOff>
      <xdr:row>39</xdr:row>
      <xdr:rowOff>28575</xdr:rowOff>
    </xdr:to>
    <xdr:sp macro="" textlink="">
      <xdr:nvSpPr>
        <xdr:cNvPr id="2071598" name="Text Box 172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295275</xdr:colOff>
      <xdr:row>38</xdr:row>
      <xdr:rowOff>0</xdr:rowOff>
    </xdr:from>
    <xdr:to>
      <xdr:col>15</xdr:col>
      <xdr:colOff>400050</xdr:colOff>
      <xdr:row>39</xdr:row>
      <xdr:rowOff>28575</xdr:rowOff>
    </xdr:to>
    <xdr:sp macro="" textlink="">
      <xdr:nvSpPr>
        <xdr:cNvPr id="2071599" name="Text Box 173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295275</xdr:colOff>
      <xdr:row>38</xdr:row>
      <xdr:rowOff>0</xdr:rowOff>
    </xdr:from>
    <xdr:to>
      <xdr:col>15</xdr:col>
      <xdr:colOff>400050</xdr:colOff>
      <xdr:row>39</xdr:row>
      <xdr:rowOff>28575</xdr:rowOff>
    </xdr:to>
    <xdr:sp macro="" textlink="">
      <xdr:nvSpPr>
        <xdr:cNvPr id="2071600" name="Text Box 174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295275</xdr:colOff>
      <xdr:row>38</xdr:row>
      <xdr:rowOff>0</xdr:rowOff>
    </xdr:from>
    <xdr:to>
      <xdr:col>15</xdr:col>
      <xdr:colOff>400050</xdr:colOff>
      <xdr:row>39</xdr:row>
      <xdr:rowOff>28575</xdr:rowOff>
    </xdr:to>
    <xdr:sp macro="" textlink="">
      <xdr:nvSpPr>
        <xdr:cNvPr id="2071601" name="Text Box 175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295275</xdr:colOff>
      <xdr:row>38</xdr:row>
      <xdr:rowOff>0</xdr:rowOff>
    </xdr:from>
    <xdr:to>
      <xdr:col>15</xdr:col>
      <xdr:colOff>400050</xdr:colOff>
      <xdr:row>39</xdr:row>
      <xdr:rowOff>28575</xdr:rowOff>
    </xdr:to>
    <xdr:sp macro="" textlink="">
      <xdr:nvSpPr>
        <xdr:cNvPr id="2071602" name="Text Box 198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295275</xdr:colOff>
      <xdr:row>38</xdr:row>
      <xdr:rowOff>0</xdr:rowOff>
    </xdr:from>
    <xdr:to>
      <xdr:col>15</xdr:col>
      <xdr:colOff>400050</xdr:colOff>
      <xdr:row>39</xdr:row>
      <xdr:rowOff>28575</xdr:rowOff>
    </xdr:to>
    <xdr:sp macro="" textlink="">
      <xdr:nvSpPr>
        <xdr:cNvPr id="2071603" name="Text Box 199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295275</xdr:colOff>
      <xdr:row>38</xdr:row>
      <xdr:rowOff>0</xdr:rowOff>
    </xdr:from>
    <xdr:to>
      <xdr:col>15</xdr:col>
      <xdr:colOff>400050</xdr:colOff>
      <xdr:row>39</xdr:row>
      <xdr:rowOff>28575</xdr:rowOff>
    </xdr:to>
    <xdr:sp macro="" textlink="">
      <xdr:nvSpPr>
        <xdr:cNvPr id="2071604" name="Text Box 200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295275</xdr:colOff>
      <xdr:row>38</xdr:row>
      <xdr:rowOff>0</xdr:rowOff>
    </xdr:from>
    <xdr:to>
      <xdr:col>15</xdr:col>
      <xdr:colOff>400050</xdr:colOff>
      <xdr:row>39</xdr:row>
      <xdr:rowOff>28575</xdr:rowOff>
    </xdr:to>
    <xdr:sp macro="" textlink="">
      <xdr:nvSpPr>
        <xdr:cNvPr id="2071605" name="Text Box 20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295275</xdr:colOff>
      <xdr:row>38</xdr:row>
      <xdr:rowOff>0</xdr:rowOff>
    </xdr:from>
    <xdr:to>
      <xdr:col>15</xdr:col>
      <xdr:colOff>400050</xdr:colOff>
      <xdr:row>39</xdr:row>
      <xdr:rowOff>28575</xdr:rowOff>
    </xdr:to>
    <xdr:sp macro="" textlink="">
      <xdr:nvSpPr>
        <xdr:cNvPr id="2071606" name="Text Box 202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295275</xdr:colOff>
      <xdr:row>38</xdr:row>
      <xdr:rowOff>0</xdr:rowOff>
    </xdr:from>
    <xdr:to>
      <xdr:col>15</xdr:col>
      <xdr:colOff>400050</xdr:colOff>
      <xdr:row>39</xdr:row>
      <xdr:rowOff>28575</xdr:rowOff>
    </xdr:to>
    <xdr:sp macro="" textlink="">
      <xdr:nvSpPr>
        <xdr:cNvPr id="2071607" name="Text Box 203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295275</xdr:colOff>
      <xdr:row>38</xdr:row>
      <xdr:rowOff>0</xdr:rowOff>
    </xdr:from>
    <xdr:to>
      <xdr:col>15</xdr:col>
      <xdr:colOff>400050</xdr:colOff>
      <xdr:row>39</xdr:row>
      <xdr:rowOff>28575</xdr:rowOff>
    </xdr:to>
    <xdr:sp macro="" textlink="">
      <xdr:nvSpPr>
        <xdr:cNvPr id="2071608" name="Text Box 204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295275</xdr:colOff>
      <xdr:row>38</xdr:row>
      <xdr:rowOff>0</xdr:rowOff>
    </xdr:from>
    <xdr:to>
      <xdr:col>15</xdr:col>
      <xdr:colOff>400050</xdr:colOff>
      <xdr:row>39</xdr:row>
      <xdr:rowOff>28575</xdr:rowOff>
    </xdr:to>
    <xdr:sp macro="" textlink="">
      <xdr:nvSpPr>
        <xdr:cNvPr id="2071609" name="Text Box 260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295275</xdr:colOff>
      <xdr:row>38</xdr:row>
      <xdr:rowOff>0</xdr:rowOff>
    </xdr:from>
    <xdr:to>
      <xdr:col>15</xdr:col>
      <xdr:colOff>400050</xdr:colOff>
      <xdr:row>39</xdr:row>
      <xdr:rowOff>28575</xdr:rowOff>
    </xdr:to>
    <xdr:sp macro="" textlink="">
      <xdr:nvSpPr>
        <xdr:cNvPr id="2071610" name="Text Box 26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295275</xdr:colOff>
      <xdr:row>38</xdr:row>
      <xdr:rowOff>0</xdr:rowOff>
    </xdr:from>
    <xdr:to>
      <xdr:col>15</xdr:col>
      <xdr:colOff>400050</xdr:colOff>
      <xdr:row>39</xdr:row>
      <xdr:rowOff>28575</xdr:rowOff>
    </xdr:to>
    <xdr:sp macro="" textlink="">
      <xdr:nvSpPr>
        <xdr:cNvPr id="2071611" name="Text Box 97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295275</xdr:colOff>
      <xdr:row>38</xdr:row>
      <xdr:rowOff>0</xdr:rowOff>
    </xdr:from>
    <xdr:to>
      <xdr:col>15</xdr:col>
      <xdr:colOff>400050</xdr:colOff>
      <xdr:row>39</xdr:row>
      <xdr:rowOff>28575</xdr:rowOff>
    </xdr:to>
    <xdr:sp macro="" textlink="">
      <xdr:nvSpPr>
        <xdr:cNvPr id="2071612" name="Text Box 972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295275</xdr:colOff>
      <xdr:row>38</xdr:row>
      <xdr:rowOff>0</xdr:rowOff>
    </xdr:from>
    <xdr:to>
      <xdr:col>15</xdr:col>
      <xdr:colOff>400050</xdr:colOff>
      <xdr:row>39</xdr:row>
      <xdr:rowOff>28575</xdr:rowOff>
    </xdr:to>
    <xdr:sp macro="" textlink="">
      <xdr:nvSpPr>
        <xdr:cNvPr id="2071613" name="Text Box 973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295275</xdr:colOff>
      <xdr:row>38</xdr:row>
      <xdr:rowOff>0</xdr:rowOff>
    </xdr:from>
    <xdr:to>
      <xdr:col>15</xdr:col>
      <xdr:colOff>400050</xdr:colOff>
      <xdr:row>39</xdr:row>
      <xdr:rowOff>28575</xdr:rowOff>
    </xdr:to>
    <xdr:sp macro="" textlink="">
      <xdr:nvSpPr>
        <xdr:cNvPr id="2071614" name="Text Box 974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352425</xdr:colOff>
      <xdr:row>38</xdr:row>
      <xdr:rowOff>0</xdr:rowOff>
    </xdr:from>
    <xdr:to>
      <xdr:col>16</xdr:col>
      <xdr:colOff>361950</xdr:colOff>
      <xdr:row>39</xdr:row>
      <xdr:rowOff>28575</xdr:rowOff>
    </xdr:to>
    <xdr:sp macro="" textlink="">
      <xdr:nvSpPr>
        <xdr:cNvPr id="2071615" name="Text Box 168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352425</xdr:colOff>
      <xdr:row>38</xdr:row>
      <xdr:rowOff>0</xdr:rowOff>
    </xdr:from>
    <xdr:to>
      <xdr:col>16</xdr:col>
      <xdr:colOff>361950</xdr:colOff>
      <xdr:row>39</xdr:row>
      <xdr:rowOff>28575</xdr:rowOff>
    </xdr:to>
    <xdr:sp macro="" textlink="">
      <xdr:nvSpPr>
        <xdr:cNvPr id="2071616" name="Text Box 169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352425</xdr:colOff>
      <xdr:row>38</xdr:row>
      <xdr:rowOff>0</xdr:rowOff>
    </xdr:from>
    <xdr:to>
      <xdr:col>16</xdr:col>
      <xdr:colOff>361950</xdr:colOff>
      <xdr:row>39</xdr:row>
      <xdr:rowOff>28575</xdr:rowOff>
    </xdr:to>
    <xdr:sp macro="" textlink="">
      <xdr:nvSpPr>
        <xdr:cNvPr id="2071617" name="Text Box 170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352425</xdr:colOff>
      <xdr:row>38</xdr:row>
      <xdr:rowOff>0</xdr:rowOff>
    </xdr:from>
    <xdr:to>
      <xdr:col>16</xdr:col>
      <xdr:colOff>361950</xdr:colOff>
      <xdr:row>39</xdr:row>
      <xdr:rowOff>28575</xdr:rowOff>
    </xdr:to>
    <xdr:sp macro="" textlink="">
      <xdr:nvSpPr>
        <xdr:cNvPr id="2071618" name="Text Box 17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352425</xdr:colOff>
      <xdr:row>38</xdr:row>
      <xdr:rowOff>0</xdr:rowOff>
    </xdr:from>
    <xdr:to>
      <xdr:col>16</xdr:col>
      <xdr:colOff>361950</xdr:colOff>
      <xdr:row>39</xdr:row>
      <xdr:rowOff>28575</xdr:rowOff>
    </xdr:to>
    <xdr:sp macro="" textlink="">
      <xdr:nvSpPr>
        <xdr:cNvPr id="2071619" name="Text Box 172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352425</xdr:colOff>
      <xdr:row>38</xdr:row>
      <xdr:rowOff>0</xdr:rowOff>
    </xdr:from>
    <xdr:to>
      <xdr:col>16</xdr:col>
      <xdr:colOff>361950</xdr:colOff>
      <xdr:row>39</xdr:row>
      <xdr:rowOff>28575</xdr:rowOff>
    </xdr:to>
    <xdr:sp macro="" textlink="">
      <xdr:nvSpPr>
        <xdr:cNvPr id="2071620" name="Text Box 173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352425</xdr:colOff>
      <xdr:row>38</xdr:row>
      <xdr:rowOff>0</xdr:rowOff>
    </xdr:from>
    <xdr:to>
      <xdr:col>16</xdr:col>
      <xdr:colOff>361950</xdr:colOff>
      <xdr:row>39</xdr:row>
      <xdr:rowOff>28575</xdr:rowOff>
    </xdr:to>
    <xdr:sp macro="" textlink="">
      <xdr:nvSpPr>
        <xdr:cNvPr id="2071621" name="Text Box 174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352425</xdr:colOff>
      <xdr:row>38</xdr:row>
      <xdr:rowOff>0</xdr:rowOff>
    </xdr:from>
    <xdr:to>
      <xdr:col>16</xdr:col>
      <xdr:colOff>361950</xdr:colOff>
      <xdr:row>39</xdr:row>
      <xdr:rowOff>28575</xdr:rowOff>
    </xdr:to>
    <xdr:sp macro="" textlink="">
      <xdr:nvSpPr>
        <xdr:cNvPr id="2071622" name="Text Box 175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352425</xdr:colOff>
      <xdr:row>38</xdr:row>
      <xdr:rowOff>0</xdr:rowOff>
    </xdr:from>
    <xdr:to>
      <xdr:col>16</xdr:col>
      <xdr:colOff>361950</xdr:colOff>
      <xdr:row>39</xdr:row>
      <xdr:rowOff>28575</xdr:rowOff>
    </xdr:to>
    <xdr:sp macro="" textlink="">
      <xdr:nvSpPr>
        <xdr:cNvPr id="2071623" name="Text Box 198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352425</xdr:colOff>
      <xdr:row>38</xdr:row>
      <xdr:rowOff>0</xdr:rowOff>
    </xdr:from>
    <xdr:to>
      <xdr:col>16</xdr:col>
      <xdr:colOff>361950</xdr:colOff>
      <xdr:row>39</xdr:row>
      <xdr:rowOff>28575</xdr:rowOff>
    </xdr:to>
    <xdr:sp macro="" textlink="">
      <xdr:nvSpPr>
        <xdr:cNvPr id="2071624" name="Text Box 199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352425</xdr:colOff>
      <xdr:row>38</xdr:row>
      <xdr:rowOff>0</xdr:rowOff>
    </xdr:from>
    <xdr:to>
      <xdr:col>16</xdr:col>
      <xdr:colOff>361950</xdr:colOff>
      <xdr:row>39</xdr:row>
      <xdr:rowOff>28575</xdr:rowOff>
    </xdr:to>
    <xdr:sp macro="" textlink="">
      <xdr:nvSpPr>
        <xdr:cNvPr id="2071625" name="Text Box 200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352425</xdr:colOff>
      <xdr:row>38</xdr:row>
      <xdr:rowOff>0</xdr:rowOff>
    </xdr:from>
    <xdr:to>
      <xdr:col>16</xdr:col>
      <xdr:colOff>361950</xdr:colOff>
      <xdr:row>39</xdr:row>
      <xdr:rowOff>28575</xdr:rowOff>
    </xdr:to>
    <xdr:sp macro="" textlink="">
      <xdr:nvSpPr>
        <xdr:cNvPr id="2071626" name="Text Box 20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352425</xdr:colOff>
      <xdr:row>38</xdr:row>
      <xdr:rowOff>0</xdr:rowOff>
    </xdr:from>
    <xdr:to>
      <xdr:col>16</xdr:col>
      <xdr:colOff>361950</xdr:colOff>
      <xdr:row>39</xdr:row>
      <xdr:rowOff>28575</xdr:rowOff>
    </xdr:to>
    <xdr:sp macro="" textlink="">
      <xdr:nvSpPr>
        <xdr:cNvPr id="2071627" name="Text Box 202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352425</xdr:colOff>
      <xdr:row>38</xdr:row>
      <xdr:rowOff>0</xdr:rowOff>
    </xdr:from>
    <xdr:to>
      <xdr:col>16</xdr:col>
      <xdr:colOff>361950</xdr:colOff>
      <xdr:row>39</xdr:row>
      <xdr:rowOff>28575</xdr:rowOff>
    </xdr:to>
    <xdr:sp macro="" textlink="">
      <xdr:nvSpPr>
        <xdr:cNvPr id="2071628" name="Text Box 203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352425</xdr:colOff>
      <xdr:row>38</xdr:row>
      <xdr:rowOff>0</xdr:rowOff>
    </xdr:from>
    <xdr:to>
      <xdr:col>16</xdr:col>
      <xdr:colOff>361950</xdr:colOff>
      <xdr:row>39</xdr:row>
      <xdr:rowOff>28575</xdr:rowOff>
    </xdr:to>
    <xdr:sp macro="" textlink="">
      <xdr:nvSpPr>
        <xdr:cNvPr id="2071629" name="Text Box 204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352425</xdr:colOff>
      <xdr:row>38</xdr:row>
      <xdr:rowOff>0</xdr:rowOff>
    </xdr:from>
    <xdr:to>
      <xdr:col>16</xdr:col>
      <xdr:colOff>361950</xdr:colOff>
      <xdr:row>39</xdr:row>
      <xdr:rowOff>28575</xdr:rowOff>
    </xdr:to>
    <xdr:sp macro="" textlink="">
      <xdr:nvSpPr>
        <xdr:cNvPr id="2071630" name="Text Box 260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352425</xdr:colOff>
      <xdr:row>38</xdr:row>
      <xdr:rowOff>0</xdr:rowOff>
    </xdr:from>
    <xdr:to>
      <xdr:col>16</xdr:col>
      <xdr:colOff>361950</xdr:colOff>
      <xdr:row>39</xdr:row>
      <xdr:rowOff>28575</xdr:rowOff>
    </xdr:to>
    <xdr:sp macro="" textlink="">
      <xdr:nvSpPr>
        <xdr:cNvPr id="2071631" name="Text Box 26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352425</xdr:colOff>
      <xdr:row>38</xdr:row>
      <xdr:rowOff>0</xdr:rowOff>
    </xdr:from>
    <xdr:to>
      <xdr:col>16</xdr:col>
      <xdr:colOff>361950</xdr:colOff>
      <xdr:row>39</xdr:row>
      <xdr:rowOff>28575</xdr:rowOff>
    </xdr:to>
    <xdr:sp macro="" textlink="">
      <xdr:nvSpPr>
        <xdr:cNvPr id="2071632" name="Text Box 97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352425</xdr:colOff>
      <xdr:row>38</xdr:row>
      <xdr:rowOff>0</xdr:rowOff>
    </xdr:from>
    <xdr:to>
      <xdr:col>16</xdr:col>
      <xdr:colOff>361950</xdr:colOff>
      <xdr:row>39</xdr:row>
      <xdr:rowOff>28575</xdr:rowOff>
    </xdr:to>
    <xdr:sp macro="" textlink="">
      <xdr:nvSpPr>
        <xdr:cNvPr id="2071633" name="Text Box 972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352425</xdr:colOff>
      <xdr:row>38</xdr:row>
      <xdr:rowOff>0</xdr:rowOff>
    </xdr:from>
    <xdr:to>
      <xdr:col>16</xdr:col>
      <xdr:colOff>361950</xdr:colOff>
      <xdr:row>39</xdr:row>
      <xdr:rowOff>28575</xdr:rowOff>
    </xdr:to>
    <xdr:sp macro="" textlink="">
      <xdr:nvSpPr>
        <xdr:cNvPr id="2071634" name="Text Box 973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352425</xdr:colOff>
      <xdr:row>38</xdr:row>
      <xdr:rowOff>0</xdr:rowOff>
    </xdr:from>
    <xdr:to>
      <xdr:col>16</xdr:col>
      <xdr:colOff>361950</xdr:colOff>
      <xdr:row>39</xdr:row>
      <xdr:rowOff>28575</xdr:rowOff>
    </xdr:to>
    <xdr:sp macro="" textlink="">
      <xdr:nvSpPr>
        <xdr:cNvPr id="2071635" name="Text Box 974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295275</xdr:colOff>
      <xdr:row>38</xdr:row>
      <xdr:rowOff>0</xdr:rowOff>
    </xdr:from>
    <xdr:to>
      <xdr:col>16</xdr:col>
      <xdr:colOff>400050</xdr:colOff>
      <xdr:row>39</xdr:row>
      <xdr:rowOff>28575</xdr:rowOff>
    </xdr:to>
    <xdr:sp macro="" textlink="">
      <xdr:nvSpPr>
        <xdr:cNvPr id="2071636" name="Text Box 168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295275</xdr:colOff>
      <xdr:row>38</xdr:row>
      <xdr:rowOff>0</xdr:rowOff>
    </xdr:from>
    <xdr:to>
      <xdr:col>16</xdr:col>
      <xdr:colOff>400050</xdr:colOff>
      <xdr:row>39</xdr:row>
      <xdr:rowOff>28575</xdr:rowOff>
    </xdr:to>
    <xdr:sp macro="" textlink="">
      <xdr:nvSpPr>
        <xdr:cNvPr id="2071637" name="Text Box 169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295275</xdr:colOff>
      <xdr:row>38</xdr:row>
      <xdr:rowOff>0</xdr:rowOff>
    </xdr:from>
    <xdr:to>
      <xdr:col>16</xdr:col>
      <xdr:colOff>400050</xdr:colOff>
      <xdr:row>39</xdr:row>
      <xdr:rowOff>28575</xdr:rowOff>
    </xdr:to>
    <xdr:sp macro="" textlink="">
      <xdr:nvSpPr>
        <xdr:cNvPr id="2071638" name="Text Box 170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295275</xdr:colOff>
      <xdr:row>38</xdr:row>
      <xdr:rowOff>0</xdr:rowOff>
    </xdr:from>
    <xdr:to>
      <xdr:col>16</xdr:col>
      <xdr:colOff>400050</xdr:colOff>
      <xdr:row>39</xdr:row>
      <xdr:rowOff>28575</xdr:rowOff>
    </xdr:to>
    <xdr:sp macro="" textlink="">
      <xdr:nvSpPr>
        <xdr:cNvPr id="2071639" name="Text Box 17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295275</xdr:colOff>
      <xdr:row>38</xdr:row>
      <xdr:rowOff>0</xdr:rowOff>
    </xdr:from>
    <xdr:to>
      <xdr:col>16</xdr:col>
      <xdr:colOff>400050</xdr:colOff>
      <xdr:row>39</xdr:row>
      <xdr:rowOff>28575</xdr:rowOff>
    </xdr:to>
    <xdr:sp macro="" textlink="">
      <xdr:nvSpPr>
        <xdr:cNvPr id="2071640" name="Text Box 172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295275</xdr:colOff>
      <xdr:row>38</xdr:row>
      <xdr:rowOff>0</xdr:rowOff>
    </xdr:from>
    <xdr:to>
      <xdr:col>16</xdr:col>
      <xdr:colOff>400050</xdr:colOff>
      <xdr:row>39</xdr:row>
      <xdr:rowOff>28575</xdr:rowOff>
    </xdr:to>
    <xdr:sp macro="" textlink="">
      <xdr:nvSpPr>
        <xdr:cNvPr id="2071641" name="Text Box 173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295275</xdr:colOff>
      <xdr:row>38</xdr:row>
      <xdr:rowOff>0</xdr:rowOff>
    </xdr:from>
    <xdr:to>
      <xdr:col>16</xdr:col>
      <xdr:colOff>400050</xdr:colOff>
      <xdr:row>39</xdr:row>
      <xdr:rowOff>28575</xdr:rowOff>
    </xdr:to>
    <xdr:sp macro="" textlink="">
      <xdr:nvSpPr>
        <xdr:cNvPr id="2071642" name="Text Box 174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295275</xdr:colOff>
      <xdr:row>38</xdr:row>
      <xdr:rowOff>0</xdr:rowOff>
    </xdr:from>
    <xdr:to>
      <xdr:col>16</xdr:col>
      <xdr:colOff>400050</xdr:colOff>
      <xdr:row>39</xdr:row>
      <xdr:rowOff>28575</xdr:rowOff>
    </xdr:to>
    <xdr:sp macro="" textlink="">
      <xdr:nvSpPr>
        <xdr:cNvPr id="2071643" name="Text Box 175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295275</xdr:colOff>
      <xdr:row>38</xdr:row>
      <xdr:rowOff>0</xdr:rowOff>
    </xdr:from>
    <xdr:to>
      <xdr:col>16</xdr:col>
      <xdr:colOff>400050</xdr:colOff>
      <xdr:row>39</xdr:row>
      <xdr:rowOff>28575</xdr:rowOff>
    </xdr:to>
    <xdr:sp macro="" textlink="">
      <xdr:nvSpPr>
        <xdr:cNvPr id="2071644" name="Text Box 198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295275</xdr:colOff>
      <xdr:row>38</xdr:row>
      <xdr:rowOff>0</xdr:rowOff>
    </xdr:from>
    <xdr:to>
      <xdr:col>16</xdr:col>
      <xdr:colOff>400050</xdr:colOff>
      <xdr:row>39</xdr:row>
      <xdr:rowOff>28575</xdr:rowOff>
    </xdr:to>
    <xdr:sp macro="" textlink="">
      <xdr:nvSpPr>
        <xdr:cNvPr id="2071645" name="Text Box 199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295275</xdr:colOff>
      <xdr:row>38</xdr:row>
      <xdr:rowOff>0</xdr:rowOff>
    </xdr:from>
    <xdr:to>
      <xdr:col>16</xdr:col>
      <xdr:colOff>400050</xdr:colOff>
      <xdr:row>39</xdr:row>
      <xdr:rowOff>28575</xdr:rowOff>
    </xdr:to>
    <xdr:sp macro="" textlink="">
      <xdr:nvSpPr>
        <xdr:cNvPr id="2071646" name="Text Box 200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295275</xdr:colOff>
      <xdr:row>38</xdr:row>
      <xdr:rowOff>0</xdr:rowOff>
    </xdr:from>
    <xdr:to>
      <xdr:col>16</xdr:col>
      <xdr:colOff>400050</xdr:colOff>
      <xdr:row>39</xdr:row>
      <xdr:rowOff>28575</xdr:rowOff>
    </xdr:to>
    <xdr:sp macro="" textlink="">
      <xdr:nvSpPr>
        <xdr:cNvPr id="2071647" name="Text Box 20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295275</xdr:colOff>
      <xdr:row>38</xdr:row>
      <xdr:rowOff>0</xdr:rowOff>
    </xdr:from>
    <xdr:to>
      <xdr:col>16</xdr:col>
      <xdr:colOff>400050</xdr:colOff>
      <xdr:row>39</xdr:row>
      <xdr:rowOff>28575</xdr:rowOff>
    </xdr:to>
    <xdr:sp macro="" textlink="">
      <xdr:nvSpPr>
        <xdr:cNvPr id="2071648" name="Text Box 202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295275</xdr:colOff>
      <xdr:row>38</xdr:row>
      <xdr:rowOff>0</xdr:rowOff>
    </xdr:from>
    <xdr:to>
      <xdr:col>16</xdr:col>
      <xdr:colOff>400050</xdr:colOff>
      <xdr:row>39</xdr:row>
      <xdr:rowOff>28575</xdr:rowOff>
    </xdr:to>
    <xdr:sp macro="" textlink="">
      <xdr:nvSpPr>
        <xdr:cNvPr id="2071649" name="Text Box 203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295275</xdr:colOff>
      <xdr:row>38</xdr:row>
      <xdr:rowOff>0</xdr:rowOff>
    </xdr:from>
    <xdr:to>
      <xdr:col>16</xdr:col>
      <xdr:colOff>400050</xdr:colOff>
      <xdr:row>39</xdr:row>
      <xdr:rowOff>28575</xdr:rowOff>
    </xdr:to>
    <xdr:sp macro="" textlink="">
      <xdr:nvSpPr>
        <xdr:cNvPr id="2071650" name="Text Box 204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295275</xdr:colOff>
      <xdr:row>38</xdr:row>
      <xdr:rowOff>0</xdr:rowOff>
    </xdr:from>
    <xdr:to>
      <xdr:col>16</xdr:col>
      <xdr:colOff>400050</xdr:colOff>
      <xdr:row>39</xdr:row>
      <xdr:rowOff>28575</xdr:rowOff>
    </xdr:to>
    <xdr:sp macro="" textlink="">
      <xdr:nvSpPr>
        <xdr:cNvPr id="2071651" name="Text Box 260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295275</xdr:colOff>
      <xdr:row>38</xdr:row>
      <xdr:rowOff>0</xdr:rowOff>
    </xdr:from>
    <xdr:to>
      <xdr:col>16</xdr:col>
      <xdr:colOff>400050</xdr:colOff>
      <xdr:row>39</xdr:row>
      <xdr:rowOff>28575</xdr:rowOff>
    </xdr:to>
    <xdr:sp macro="" textlink="">
      <xdr:nvSpPr>
        <xdr:cNvPr id="2071652" name="Text Box 26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295275</xdr:colOff>
      <xdr:row>38</xdr:row>
      <xdr:rowOff>0</xdr:rowOff>
    </xdr:from>
    <xdr:to>
      <xdr:col>16</xdr:col>
      <xdr:colOff>400050</xdr:colOff>
      <xdr:row>39</xdr:row>
      <xdr:rowOff>28575</xdr:rowOff>
    </xdr:to>
    <xdr:sp macro="" textlink="">
      <xdr:nvSpPr>
        <xdr:cNvPr id="2071653" name="Text Box 97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295275</xdr:colOff>
      <xdr:row>38</xdr:row>
      <xdr:rowOff>0</xdr:rowOff>
    </xdr:from>
    <xdr:to>
      <xdr:col>16</xdr:col>
      <xdr:colOff>400050</xdr:colOff>
      <xdr:row>39</xdr:row>
      <xdr:rowOff>28575</xdr:rowOff>
    </xdr:to>
    <xdr:sp macro="" textlink="">
      <xdr:nvSpPr>
        <xdr:cNvPr id="2071654" name="Text Box 972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295275</xdr:colOff>
      <xdr:row>38</xdr:row>
      <xdr:rowOff>0</xdr:rowOff>
    </xdr:from>
    <xdr:to>
      <xdr:col>16</xdr:col>
      <xdr:colOff>400050</xdr:colOff>
      <xdr:row>39</xdr:row>
      <xdr:rowOff>28575</xdr:rowOff>
    </xdr:to>
    <xdr:sp macro="" textlink="">
      <xdr:nvSpPr>
        <xdr:cNvPr id="2071655" name="Text Box 973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295275</xdr:colOff>
      <xdr:row>38</xdr:row>
      <xdr:rowOff>0</xdr:rowOff>
    </xdr:from>
    <xdr:to>
      <xdr:col>16</xdr:col>
      <xdr:colOff>400050</xdr:colOff>
      <xdr:row>39</xdr:row>
      <xdr:rowOff>28575</xdr:rowOff>
    </xdr:to>
    <xdr:sp macro="" textlink="">
      <xdr:nvSpPr>
        <xdr:cNvPr id="2071656" name="Text Box 974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352425</xdr:colOff>
      <xdr:row>38</xdr:row>
      <xdr:rowOff>0</xdr:rowOff>
    </xdr:from>
    <xdr:to>
      <xdr:col>17</xdr:col>
      <xdr:colOff>361950</xdr:colOff>
      <xdr:row>39</xdr:row>
      <xdr:rowOff>28575</xdr:rowOff>
    </xdr:to>
    <xdr:sp macro="" textlink="">
      <xdr:nvSpPr>
        <xdr:cNvPr id="2071657" name="Text Box 168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352425</xdr:colOff>
      <xdr:row>38</xdr:row>
      <xdr:rowOff>0</xdr:rowOff>
    </xdr:from>
    <xdr:to>
      <xdr:col>17</xdr:col>
      <xdr:colOff>361950</xdr:colOff>
      <xdr:row>39</xdr:row>
      <xdr:rowOff>28575</xdr:rowOff>
    </xdr:to>
    <xdr:sp macro="" textlink="">
      <xdr:nvSpPr>
        <xdr:cNvPr id="2071658" name="Text Box 169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352425</xdr:colOff>
      <xdr:row>38</xdr:row>
      <xdr:rowOff>0</xdr:rowOff>
    </xdr:from>
    <xdr:to>
      <xdr:col>17</xdr:col>
      <xdr:colOff>361950</xdr:colOff>
      <xdr:row>39</xdr:row>
      <xdr:rowOff>28575</xdr:rowOff>
    </xdr:to>
    <xdr:sp macro="" textlink="">
      <xdr:nvSpPr>
        <xdr:cNvPr id="2071659" name="Text Box 170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352425</xdr:colOff>
      <xdr:row>38</xdr:row>
      <xdr:rowOff>0</xdr:rowOff>
    </xdr:from>
    <xdr:to>
      <xdr:col>17</xdr:col>
      <xdr:colOff>361950</xdr:colOff>
      <xdr:row>39</xdr:row>
      <xdr:rowOff>28575</xdr:rowOff>
    </xdr:to>
    <xdr:sp macro="" textlink="">
      <xdr:nvSpPr>
        <xdr:cNvPr id="2071660" name="Text Box 17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352425</xdr:colOff>
      <xdr:row>38</xdr:row>
      <xdr:rowOff>0</xdr:rowOff>
    </xdr:from>
    <xdr:to>
      <xdr:col>17</xdr:col>
      <xdr:colOff>361950</xdr:colOff>
      <xdr:row>39</xdr:row>
      <xdr:rowOff>28575</xdr:rowOff>
    </xdr:to>
    <xdr:sp macro="" textlink="">
      <xdr:nvSpPr>
        <xdr:cNvPr id="2071661" name="Text Box 172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352425</xdr:colOff>
      <xdr:row>38</xdr:row>
      <xdr:rowOff>0</xdr:rowOff>
    </xdr:from>
    <xdr:to>
      <xdr:col>17</xdr:col>
      <xdr:colOff>361950</xdr:colOff>
      <xdr:row>39</xdr:row>
      <xdr:rowOff>28575</xdr:rowOff>
    </xdr:to>
    <xdr:sp macro="" textlink="">
      <xdr:nvSpPr>
        <xdr:cNvPr id="2071662" name="Text Box 173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352425</xdr:colOff>
      <xdr:row>38</xdr:row>
      <xdr:rowOff>0</xdr:rowOff>
    </xdr:from>
    <xdr:to>
      <xdr:col>17</xdr:col>
      <xdr:colOff>361950</xdr:colOff>
      <xdr:row>39</xdr:row>
      <xdr:rowOff>28575</xdr:rowOff>
    </xdr:to>
    <xdr:sp macro="" textlink="">
      <xdr:nvSpPr>
        <xdr:cNvPr id="2071663" name="Text Box 174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352425</xdr:colOff>
      <xdr:row>38</xdr:row>
      <xdr:rowOff>0</xdr:rowOff>
    </xdr:from>
    <xdr:to>
      <xdr:col>17</xdr:col>
      <xdr:colOff>361950</xdr:colOff>
      <xdr:row>39</xdr:row>
      <xdr:rowOff>28575</xdr:rowOff>
    </xdr:to>
    <xdr:sp macro="" textlink="">
      <xdr:nvSpPr>
        <xdr:cNvPr id="2071664" name="Text Box 175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352425</xdr:colOff>
      <xdr:row>38</xdr:row>
      <xdr:rowOff>0</xdr:rowOff>
    </xdr:from>
    <xdr:to>
      <xdr:col>17</xdr:col>
      <xdr:colOff>361950</xdr:colOff>
      <xdr:row>39</xdr:row>
      <xdr:rowOff>28575</xdr:rowOff>
    </xdr:to>
    <xdr:sp macro="" textlink="">
      <xdr:nvSpPr>
        <xdr:cNvPr id="2071665" name="Text Box 198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352425</xdr:colOff>
      <xdr:row>38</xdr:row>
      <xdr:rowOff>0</xdr:rowOff>
    </xdr:from>
    <xdr:to>
      <xdr:col>17</xdr:col>
      <xdr:colOff>361950</xdr:colOff>
      <xdr:row>39</xdr:row>
      <xdr:rowOff>28575</xdr:rowOff>
    </xdr:to>
    <xdr:sp macro="" textlink="">
      <xdr:nvSpPr>
        <xdr:cNvPr id="2071666" name="Text Box 199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352425</xdr:colOff>
      <xdr:row>38</xdr:row>
      <xdr:rowOff>0</xdr:rowOff>
    </xdr:from>
    <xdr:to>
      <xdr:col>17</xdr:col>
      <xdr:colOff>361950</xdr:colOff>
      <xdr:row>39</xdr:row>
      <xdr:rowOff>28575</xdr:rowOff>
    </xdr:to>
    <xdr:sp macro="" textlink="">
      <xdr:nvSpPr>
        <xdr:cNvPr id="2071667" name="Text Box 200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352425</xdr:colOff>
      <xdr:row>38</xdr:row>
      <xdr:rowOff>0</xdr:rowOff>
    </xdr:from>
    <xdr:to>
      <xdr:col>17</xdr:col>
      <xdr:colOff>361950</xdr:colOff>
      <xdr:row>39</xdr:row>
      <xdr:rowOff>28575</xdr:rowOff>
    </xdr:to>
    <xdr:sp macro="" textlink="">
      <xdr:nvSpPr>
        <xdr:cNvPr id="2071668" name="Text Box 20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352425</xdr:colOff>
      <xdr:row>38</xdr:row>
      <xdr:rowOff>0</xdr:rowOff>
    </xdr:from>
    <xdr:to>
      <xdr:col>17</xdr:col>
      <xdr:colOff>361950</xdr:colOff>
      <xdr:row>39</xdr:row>
      <xdr:rowOff>28575</xdr:rowOff>
    </xdr:to>
    <xdr:sp macro="" textlink="">
      <xdr:nvSpPr>
        <xdr:cNvPr id="2071669" name="Text Box 202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352425</xdr:colOff>
      <xdr:row>38</xdr:row>
      <xdr:rowOff>0</xdr:rowOff>
    </xdr:from>
    <xdr:to>
      <xdr:col>17</xdr:col>
      <xdr:colOff>361950</xdr:colOff>
      <xdr:row>39</xdr:row>
      <xdr:rowOff>28575</xdr:rowOff>
    </xdr:to>
    <xdr:sp macro="" textlink="">
      <xdr:nvSpPr>
        <xdr:cNvPr id="2071670" name="Text Box 203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352425</xdr:colOff>
      <xdr:row>38</xdr:row>
      <xdr:rowOff>0</xdr:rowOff>
    </xdr:from>
    <xdr:to>
      <xdr:col>17</xdr:col>
      <xdr:colOff>361950</xdr:colOff>
      <xdr:row>39</xdr:row>
      <xdr:rowOff>28575</xdr:rowOff>
    </xdr:to>
    <xdr:sp macro="" textlink="">
      <xdr:nvSpPr>
        <xdr:cNvPr id="2071671" name="Text Box 204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352425</xdr:colOff>
      <xdr:row>38</xdr:row>
      <xdr:rowOff>0</xdr:rowOff>
    </xdr:from>
    <xdr:to>
      <xdr:col>17</xdr:col>
      <xdr:colOff>361950</xdr:colOff>
      <xdr:row>39</xdr:row>
      <xdr:rowOff>28575</xdr:rowOff>
    </xdr:to>
    <xdr:sp macro="" textlink="">
      <xdr:nvSpPr>
        <xdr:cNvPr id="2071672" name="Text Box 260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352425</xdr:colOff>
      <xdr:row>38</xdr:row>
      <xdr:rowOff>0</xdr:rowOff>
    </xdr:from>
    <xdr:to>
      <xdr:col>17</xdr:col>
      <xdr:colOff>361950</xdr:colOff>
      <xdr:row>39</xdr:row>
      <xdr:rowOff>28575</xdr:rowOff>
    </xdr:to>
    <xdr:sp macro="" textlink="">
      <xdr:nvSpPr>
        <xdr:cNvPr id="2071673" name="Text Box 26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352425</xdr:colOff>
      <xdr:row>38</xdr:row>
      <xdr:rowOff>0</xdr:rowOff>
    </xdr:from>
    <xdr:to>
      <xdr:col>17</xdr:col>
      <xdr:colOff>361950</xdr:colOff>
      <xdr:row>39</xdr:row>
      <xdr:rowOff>28575</xdr:rowOff>
    </xdr:to>
    <xdr:sp macro="" textlink="">
      <xdr:nvSpPr>
        <xdr:cNvPr id="2071674" name="Text Box 97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352425</xdr:colOff>
      <xdr:row>38</xdr:row>
      <xdr:rowOff>0</xdr:rowOff>
    </xdr:from>
    <xdr:to>
      <xdr:col>17</xdr:col>
      <xdr:colOff>361950</xdr:colOff>
      <xdr:row>39</xdr:row>
      <xdr:rowOff>28575</xdr:rowOff>
    </xdr:to>
    <xdr:sp macro="" textlink="">
      <xdr:nvSpPr>
        <xdr:cNvPr id="2071675" name="Text Box 972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352425</xdr:colOff>
      <xdr:row>38</xdr:row>
      <xdr:rowOff>0</xdr:rowOff>
    </xdr:from>
    <xdr:to>
      <xdr:col>17</xdr:col>
      <xdr:colOff>361950</xdr:colOff>
      <xdr:row>39</xdr:row>
      <xdr:rowOff>28575</xdr:rowOff>
    </xdr:to>
    <xdr:sp macro="" textlink="">
      <xdr:nvSpPr>
        <xdr:cNvPr id="2071676" name="Text Box 973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352425</xdr:colOff>
      <xdr:row>38</xdr:row>
      <xdr:rowOff>0</xdr:rowOff>
    </xdr:from>
    <xdr:to>
      <xdr:col>17</xdr:col>
      <xdr:colOff>361950</xdr:colOff>
      <xdr:row>39</xdr:row>
      <xdr:rowOff>28575</xdr:rowOff>
    </xdr:to>
    <xdr:sp macro="" textlink="">
      <xdr:nvSpPr>
        <xdr:cNvPr id="2071677" name="Text Box 974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295275</xdr:colOff>
      <xdr:row>38</xdr:row>
      <xdr:rowOff>0</xdr:rowOff>
    </xdr:from>
    <xdr:to>
      <xdr:col>17</xdr:col>
      <xdr:colOff>400050</xdr:colOff>
      <xdr:row>39</xdr:row>
      <xdr:rowOff>28575</xdr:rowOff>
    </xdr:to>
    <xdr:sp macro="" textlink="">
      <xdr:nvSpPr>
        <xdr:cNvPr id="2071678" name="Text Box 168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295275</xdr:colOff>
      <xdr:row>38</xdr:row>
      <xdr:rowOff>0</xdr:rowOff>
    </xdr:from>
    <xdr:to>
      <xdr:col>17</xdr:col>
      <xdr:colOff>400050</xdr:colOff>
      <xdr:row>39</xdr:row>
      <xdr:rowOff>28575</xdr:rowOff>
    </xdr:to>
    <xdr:sp macro="" textlink="">
      <xdr:nvSpPr>
        <xdr:cNvPr id="2071679" name="Text Box 169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295275</xdr:colOff>
      <xdr:row>38</xdr:row>
      <xdr:rowOff>0</xdr:rowOff>
    </xdr:from>
    <xdr:to>
      <xdr:col>17</xdr:col>
      <xdr:colOff>400050</xdr:colOff>
      <xdr:row>39</xdr:row>
      <xdr:rowOff>28575</xdr:rowOff>
    </xdr:to>
    <xdr:sp macro="" textlink="">
      <xdr:nvSpPr>
        <xdr:cNvPr id="2071680" name="Text Box 170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295275</xdr:colOff>
      <xdr:row>38</xdr:row>
      <xdr:rowOff>0</xdr:rowOff>
    </xdr:from>
    <xdr:to>
      <xdr:col>17</xdr:col>
      <xdr:colOff>400050</xdr:colOff>
      <xdr:row>39</xdr:row>
      <xdr:rowOff>28575</xdr:rowOff>
    </xdr:to>
    <xdr:sp macro="" textlink="">
      <xdr:nvSpPr>
        <xdr:cNvPr id="2071681" name="Text Box 17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295275</xdr:colOff>
      <xdr:row>38</xdr:row>
      <xdr:rowOff>0</xdr:rowOff>
    </xdr:from>
    <xdr:to>
      <xdr:col>17</xdr:col>
      <xdr:colOff>400050</xdr:colOff>
      <xdr:row>39</xdr:row>
      <xdr:rowOff>28575</xdr:rowOff>
    </xdr:to>
    <xdr:sp macro="" textlink="">
      <xdr:nvSpPr>
        <xdr:cNvPr id="2071682" name="Text Box 172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295275</xdr:colOff>
      <xdr:row>38</xdr:row>
      <xdr:rowOff>0</xdr:rowOff>
    </xdr:from>
    <xdr:to>
      <xdr:col>17</xdr:col>
      <xdr:colOff>400050</xdr:colOff>
      <xdr:row>39</xdr:row>
      <xdr:rowOff>28575</xdr:rowOff>
    </xdr:to>
    <xdr:sp macro="" textlink="">
      <xdr:nvSpPr>
        <xdr:cNvPr id="2071683" name="Text Box 173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295275</xdr:colOff>
      <xdr:row>38</xdr:row>
      <xdr:rowOff>0</xdr:rowOff>
    </xdr:from>
    <xdr:to>
      <xdr:col>17</xdr:col>
      <xdr:colOff>400050</xdr:colOff>
      <xdr:row>39</xdr:row>
      <xdr:rowOff>28575</xdr:rowOff>
    </xdr:to>
    <xdr:sp macro="" textlink="">
      <xdr:nvSpPr>
        <xdr:cNvPr id="2071684" name="Text Box 174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295275</xdr:colOff>
      <xdr:row>38</xdr:row>
      <xdr:rowOff>0</xdr:rowOff>
    </xdr:from>
    <xdr:to>
      <xdr:col>17</xdr:col>
      <xdr:colOff>400050</xdr:colOff>
      <xdr:row>39</xdr:row>
      <xdr:rowOff>28575</xdr:rowOff>
    </xdr:to>
    <xdr:sp macro="" textlink="">
      <xdr:nvSpPr>
        <xdr:cNvPr id="2071685" name="Text Box 175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295275</xdr:colOff>
      <xdr:row>38</xdr:row>
      <xdr:rowOff>0</xdr:rowOff>
    </xdr:from>
    <xdr:to>
      <xdr:col>17</xdr:col>
      <xdr:colOff>400050</xdr:colOff>
      <xdr:row>39</xdr:row>
      <xdr:rowOff>28575</xdr:rowOff>
    </xdr:to>
    <xdr:sp macro="" textlink="">
      <xdr:nvSpPr>
        <xdr:cNvPr id="2071686" name="Text Box 198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295275</xdr:colOff>
      <xdr:row>38</xdr:row>
      <xdr:rowOff>0</xdr:rowOff>
    </xdr:from>
    <xdr:to>
      <xdr:col>17</xdr:col>
      <xdr:colOff>400050</xdr:colOff>
      <xdr:row>39</xdr:row>
      <xdr:rowOff>28575</xdr:rowOff>
    </xdr:to>
    <xdr:sp macro="" textlink="">
      <xdr:nvSpPr>
        <xdr:cNvPr id="2071687" name="Text Box 199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295275</xdr:colOff>
      <xdr:row>38</xdr:row>
      <xdr:rowOff>0</xdr:rowOff>
    </xdr:from>
    <xdr:to>
      <xdr:col>17</xdr:col>
      <xdr:colOff>400050</xdr:colOff>
      <xdr:row>39</xdr:row>
      <xdr:rowOff>28575</xdr:rowOff>
    </xdr:to>
    <xdr:sp macro="" textlink="">
      <xdr:nvSpPr>
        <xdr:cNvPr id="2071688" name="Text Box 200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295275</xdr:colOff>
      <xdr:row>38</xdr:row>
      <xdr:rowOff>0</xdr:rowOff>
    </xdr:from>
    <xdr:to>
      <xdr:col>17</xdr:col>
      <xdr:colOff>400050</xdr:colOff>
      <xdr:row>39</xdr:row>
      <xdr:rowOff>28575</xdr:rowOff>
    </xdr:to>
    <xdr:sp macro="" textlink="">
      <xdr:nvSpPr>
        <xdr:cNvPr id="2071689" name="Text Box 20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295275</xdr:colOff>
      <xdr:row>38</xdr:row>
      <xdr:rowOff>0</xdr:rowOff>
    </xdr:from>
    <xdr:to>
      <xdr:col>17</xdr:col>
      <xdr:colOff>400050</xdr:colOff>
      <xdr:row>39</xdr:row>
      <xdr:rowOff>28575</xdr:rowOff>
    </xdr:to>
    <xdr:sp macro="" textlink="">
      <xdr:nvSpPr>
        <xdr:cNvPr id="2071690" name="Text Box 202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295275</xdr:colOff>
      <xdr:row>38</xdr:row>
      <xdr:rowOff>0</xdr:rowOff>
    </xdr:from>
    <xdr:to>
      <xdr:col>17</xdr:col>
      <xdr:colOff>400050</xdr:colOff>
      <xdr:row>39</xdr:row>
      <xdr:rowOff>28575</xdr:rowOff>
    </xdr:to>
    <xdr:sp macro="" textlink="">
      <xdr:nvSpPr>
        <xdr:cNvPr id="2071691" name="Text Box 203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295275</xdr:colOff>
      <xdr:row>38</xdr:row>
      <xdr:rowOff>0</xdr:rowOff>
    </xdr:from>
    <xdr:to>
      <xdr:col>17</xdr:col>
      <xdr:colOff>400050</xdr:colOff>
      <xdr:row>39</xdr:row>
      <xdr:rowOff>28575</xdr:rowOff>
    </xdr:to>
    <xdr:sp macro="" textlink="">
      <xdr:nvSpPr>
        <xdr:cNvPr id="2071692" name="Text Box 204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295275</xdr:colOff>
      <xdr:row>38</xdr:row>
      <xdr:rowOff>0</xdr:rowOff>
    </xdr:from>
    <xdr:to>
      <xdr:col>17</xdr:col>
      <xdr:colOff>400050</xdr:colOff>
      <xdr:row>39</xdr:row>
      <xdr:rowOff>28575</xdr:rowOff>
    </xdr:to>
    <xdr:sp macro="" textlink="">
      <xdr:nvSpPr>
        <xdr:cNvPr id="2071693" name="Text Box 260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295275</xdr:colOff>
      <xdr:row>38</xdr:row>
      <xdr:rowOff>0</xdr:rowOff>
    </xdr:from>
    <xdr:to>
      <xdr:col>17</xdr:col>
      <xdr:colOff>400050</xdr:colOff>
      <xdr:row>39</xdr:row>
      <xdr:rowOff>28575</xdr:rowOff>
    </xdr:to>
    <xdr:sp macro="" textlink="">
      <xdr:nvSpPr>
        <xdr:cNvPr id="2071694" name="Text Box 26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295275</xdr:colOff>
      <xdr:row>38</xdr:row>
      <xdr:rowOff>0</xdr:rowOff>
    </xdr:from>
    <xdr:to>
      <xdr:col>17</xdr:col>
      <xdr:colOff>400050</xdr:colOff>
      <xdr:row>39</xdr:row>
      <xdr:rowOff>28575</xdr:rowOff>
    </xdr:to>
    <xdr:sp macro="" textlink="">
      <xdr:nvSpPr>
        <xdr:cNvPr id="2071695" name="Text Box 97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295275</xdr:colOff>
      <xdr:row>38</xdr:row>
      <xdr:rowOff>0</xdr:rowOff>
    </xdr:from>
    <xdr:to>
      <xdr:col>17</xdr:col>
      <xdr:colOff>400050</xdr:colOff>
      <xdr:row>39</xdr:row>
      <xdr:rowOff>28575</xdr:rowOff>
    </xdr:to>
    <xdr:sp macro="" textlink="">
      <xdr:nvSpPr>
        <xdr:cNvPr id="2071696" name="Text Box 972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295275</xdr:colOff>
      <xdr:row>38</xdr:row>
      <xdr:rowOff>0</xdr:rowOff>
    </xdr:from>
    <xdr:to>
      <xdr:col>17</xdr:col>
      <xdr:colOff>400050</xdr:colOff>
      <xdr:row>39</xdr:row>
      <xdr:rowOff>28575</xdr:rowOff>
    </xdr:to>
    <xdr:sp macro="" textlink="">
      <xdr:nvSpPr>
        <xdr:cNvPr id="2071697" name="Text Box 973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295275</xdr:colOff>
      <xdr:row>38</xdr:row>
      <xdr:rowOff>0</xdr:rowOff>
    </xdr:from>
    <xdr:to>
      <xdr:col>17</xdr:col>
      <xdr:colOff>400050</xdr:colOff>
      <xdr:row>39</xdr:row>
      <xdr:rowOff>28575</xdr:rowOff>
    </xdr:to>
    <xdr:sp macro="" textlink="">
      <xdr:nvSpPr>
        <xdr:cNvPr id="2071698" name="Text Box 974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352425</xdr:colOff>
      <xdr:row>38</xdr:row>
      <xdr:rowOff>0</xdr:rowOff>
    </xdr:from>
    <xdr:to>
      <xdr:col>18</xdr:col>
      <xdr:colOff>361950</xdr:colOff>
      <xdr:row>39</xdr:row>
      <xdr:rowOff>28575</xdr:rowOff>
    </xdr:to>
    <xdr:sp macro="" textlink="">
      <xdr:nvSpPr>
        <xdr:cNvPr id="2071699" name="Text Box 168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352425</xdr:colOff>
      <xdr:row>38</xdr:row>
      <xdr:rowOff>0</xdr:rowOff>
    </xdr:from>
    <xdr:to>
      <xdr:col>18</xdr:col>
      <xdr:colOff>361950</xdr:colOff>
      <xdr:row>39</xdr:row>
      <xdr:rowOff>28575</xdr:rowOff>
    </xdr:to>
    <xdr:sp macro="" textlink="">
      <xdr:nvSpPr>
        <xdr:cNvPr id="2071700" name="Text Box 169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352425</xdr:colOff>
      <xdr:row>38</xdr:row>
      <xdr:rowOff>0</xdr:rowOff>
    </xdr:from>
    <xdr:to>
      <xdr:col>18</xdr:col>
      <xdr:colOff>361950</xdr:colOff>
      <xdr:row>39</xdr:row>
      <xdr:rowOff>28575</xdr:rowOff>
    </xdr:to>
    <xdr:sp macro="" textlink="">
      <xdr:nvSpPr>
        <xdr:cNvPr id="2071701" name="Text Box 170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352425</xdr:colOff>
      <xdr:row>38</xdr:row>
      <xdr:rowOff>0</xdr:rowOff>
    </xdr:from>
    <xdr:to>
      <xdr:col>18</xdr:col>
      <xdr:colOff>361950</xdr:colOff>
      <xdr:row>39</xdr:row>
      <xdr:rowOff>28575</xdr:rowOff>
    </xdr:to>
    <xdr:sp macro="" textlink="">
      <xdr:nvSpPr>
        <xdr:cNvPr id="2071702" name="Text Box 17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352425</xdr:colOff>
      <xdr:row>38</xdr:row>
      <xdr:rowOff>0</xdr:rowOff>
    </xdr:from>
    <xdr:to>
      <xdr:col>18</xdr:col>
      <xdr:colOff>361950</xdr:colOff>
      <xdr:row>39</xdr:row>
      <xdr:rowOff>28575</xdr:rowOff>
    </xdr:to>
    <xdr:sp macro="" textlink="">
      <xdr:nvSpPr>
        <xdr:cNvPr id="2071703" name="Text Box 172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352425</xdr:colOff>
      <xdr:row>38</xdr:row>
      <xdr:rowOff>0</xdr:rowOff>
    </xdr:from>
    <xdr:to>
      <xdr:col>18</xdr:col>
      <xdr:colOff>361950</xdr:colOff>
      <xdr:row>39</xdr:row>
      <xdr:rowOff>28575</xdr:rowOff>
    </xdr:to>
    <xdr:sp macro="" textlink="">
      <xdr:nvSpPr>
        <xdr:cNvPr id="2071704" name="Text Box 173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352425</xdr:colOff>
      <xdr:row>38</xdr:row>
      <xdr:rowOff>0</xdr:rowOff>
    </xdr:from>
    <xdr:to>
      <xdr:col>18</xdr:col>
      <xdr:colOff>361950</xdr:colOff>
      <xdr:row>39</xdr:row>
      <xdr:rowOff>28575</xdr:rowOff>
    </xdr:to>
    <xdr:sp macro="" textlink="">
      <xdr:nvSpPr>
        <xdr:cNvPr id="2071705" name="Text Box 174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352425</xdr:colOff>
      <xdr:row>38</xdr:row>
      <xdr:rowOff>0</xdr:rowOff>
    </xdr:from>
    <xdr:to>
      <xdr:col>18</xdr:col>
      <xdr:colOff>361950</xdr:colOff>
      <xdr:row>39</xdr:row>
      <xdr:rowOff>28575</xdr:rowOff>
    </xdr:to>
    <xdr:sp macro="" textlink="">
      <xdr:nvSpPr>
        <xdr:cNvPr id="2071706" name="Text Box 175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352425</xdr:colOff>
      <xdr:row>38</xdr:row>
      <xdr:rowOff>0</xdr:rowOff>
    </xdr:from>
    <xdr:to>
      <xdr:col>18</xdr:col>
      <xdr:colOff>361950</xdr:colOff>
      <xdr:row>39</xdr:row>
      <xdr:rowOff>28575</xdr:rowOff>
    </xdr:to>
    <xdr:sp macro="" textlink="">
      <xdr:nvSpPr>
        <xdr:cNvPr id="2071707" name="Text Box 198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352425</xdr:colOff>
      <xdr:row>38</xdr:row>
      <xdr:rowOff>0</xdr:rowOff>
    </xdr:from>
    <xdr:to>
      <xdr:col>18</xdr:col>
      <xdr:colOff>361950</xdr:colOff>
      <xdr:row>39</xdr:row>
      <xdr:rowOff>28575</xdr:rowOff>
    </xdr:to>
    <xdr:sp macro="" textlink="">
      <xdr:nvSpPr>
        <xdr:cNvPr id="2071708" name="Text Box 199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352425</xdr:colOff>
      <xdr:row>38</xdr:row>
      <xdr:rowOff>0</xdr:rowOff>
    </xdr:from>
    <xdr:to>
      <xdr:col>18</xdr:col>
      <xdr:colOff>361950</xdr:colOff>
      <xdr:row>39</xdr:row>
      <xdr:rowOff>28575</xdr:rowOff>
    </xdr:to>
    <xdr:sp macro="" textlink="">
      <xdr:nvSpPr>
        <xdr:cNvPr id="2071709" name="Text Box 200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352425</xdr:colOff>
      <xdr:row>38</xdr:row>
      <xdr:rowOff>0</xdr:rowOff>
    </xdr:from>
    <xdr:to>
      <xdr:col>18</xdr:col>
      <xdr:colOff>361950</xdr:colOff>
      <xdr:row>39</xdr:row>
      <xdr:rowOff>28575</xdr:rowOff>
    </xdr:to>
    <xdr:sp macro="" textlink="">
      <xdr:nvSpPr>
        <xdr:cNvPr id="2071710" name="Text Box 20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352425</xdr:colOff>
      <xdr:row>38</xdr:row>
      <xdr:rowOff>0</xdr:rowOff>
    </xdr:from>
    <xdr:to>
      <xdr:col>18</xdr:col>
      <xdr:colOff>361950</xdr:colOff>
      <xdr:row>39</xdr:row>
      <xdr:rowOff>28575</xdr:rowOff>
    </xdr:to>
    <xdr:sp macro="" textlink="">
      <xdr:nvSpPr>
        <xdr:cNvPr id="2071711" name="Text Box 202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352425</xdr:colOff>
      <xdr:row>38</xdr:row>
      <xdr:rowOff>0</xdr:rowOff>
    </xdr:from>
    <xdr:to>
      <xdr:col>18</xdr:col>
      <xdr:colOff>361950</xdr:colOff>
      <xdr:row>39</xdr:row>
      <xdr:rowOff>28575</xdr:rowOff>
    </xdr:to>
    <xdr:sp macro="" textlink="">
      <xdr:nvSpPr>
        <xdr:cNvPr id="2071712" name="Text Box 203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352425</xdr:colOff>
      <xdr:row>38</xdr:row>
      <xdr:rowOff>0</xdr:rowOff>
    </xdr:from>
    <xdr:to>
      <xdr:col>18</xdr:col>
      <xdr:colOff>361950</xdr:colOff>
      <xdr:row>39</xdr:row>
      <xdr:rowOff>28575</xdr:rowOff>
    </xdr:to>
    <xdr:sp macro="" textlink="">
      <xdr:nvSpPr>
        <xdr:cNvPr id="2071713" name="Text Box 204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352425</xdr:colOff>
      <xdr:row>38</xdr:row>
      <xdr:rowOff>0</xdr:rowOff>
    </xdr:from>
    <xdr:to>
      <xdr:col>18</xdr:col>
      <xdr:colOff>361950</xdr:colOff>
      <xdr:row>39</xdr:row>
      <xdr:rowOff>28575</xdr:rowOff>
    </xdr:to>
    <xdr:sp macro="" textlink="">
      <xdr:nvSpPr>
        <xdr:cNvPr id="2071714" name="Text Box 260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352425</xdr:colOff>
      <xdr:row>38</xdr:row>
      <xdr:rowOff>0</xdr:rowOff>
    </xdr:from>
    <xdr:to>
      <xdr:col>18</xdr:col>
      <xdr:colOff>361950</xdr:colOff>
      <xdr:row>39</xdr:row>
      <xdr:rowOff>28575</xdr:rowOff>
    </xdr:to>
    <xdr:sp macro="" textlink="">
      <xdr:nvSpPr>
        <xdr:cNvPr id="2071715" name="Text Box 26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352425</xdr:colOff>
      <xdr:row>38</xdr:row>
      <xdr:rowOff>0</xdr:rowOff>
    </xdr:from>
    <xdr:to>
      <xdr:col>18</xdr:col>
      <xdr:colOff>361950</xdr:colOff>
      <xdr:row>39</xdr:row>
      <xdr:rowOff>28575</xdr:rowOff>
    </xdr:to>
    <xdr:sp macro="" textlink="">
      <xdr:nvSpPr>
        <xdr:cNvPr id="2071716" name="Text Box 97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352425</xdr:colOff>
      <xdr:row>38</xdr:row>
      <xdr:rowOff>0</xdr:rowOff>
    </xdr:from>
    <xdr:to>
      <xdr:col>18</xdr:col>
      <xdr:colOff>361950</xdr:colOff>
      <xdr:row>39</xdr:row>
      <xdr:rowOff>28575</xdr:rowOff>
    </xdr:to>
    <xdr:sp macro="" textlink="">
      <xdr:nvSpPr>
        <xdr:cNvPr id="2071717" name="Text Box 972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352425</xdr:colOff>
      <xdr:row>38</xdr:row>
      <xdr:rowOff>0</xdr:rowOff>
    </xdr:from>
    <xdr:to>
      <xdr:col>18</xdr:col>
      <xdr:colOff>361950</xdr:colOff>
      <xdr:row>39</xdr:row>
      <xdr:rowOff>28575</xdr:rowOff>
    </xdr:to>
    <xdr:sp macro="" textlink="">
      <xdr:nvSpPr>
        <xdr:cNvPr id="2071718" name="Text Box 973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352425</xdr:colOff>
      <xdr:row>38</xdr:row>
      <xdr:rowOff>0</xdr:rowOff>
    </xdr:from>
    <xdr:to>
      <xdr:col>18</xdr:col>
      <xdr:colOff>361950</xdr:colOff>
      <xdr:row>39</xdr:row>
      <xdr:rowOff>28575</xdr:rowOff>
    </xdr:to>
    <xdr:sp macro="" textlink="">
      <xdr:nvSpPr>
        <xdr:cNvPr id="2071719" name="Text Box 974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295275</xdr:colOff>
      <xdr:row>38</xdr:row>
      <xdr:rowOff>0</xdr:rowOff>
    </xdr:from>
    <xdr:to>
      <xdr:col>18</xdr:col>
      <xdr:colOff>400050</xdr:colOff>
      <xdr:row>39</xdr:row>
      <xdr:rowOff>28575</xdr:rowOff>
    </xdr:to>
    <xdr:sp macro="" textlink="">
      <xdr:nvSpPr>
        <xdr:cNvPr id="2071720" name="Text Box 168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295275</xdr:colOff>
      <xdr:row>38</xdr:row>
      <xdr:rowOff>0</xdr:rowOff>
    </xdr:from>
    <xdr:to>
      <xdr:col>18</xdr:col>
      <xdr:colOff>400050</xdr:colOff>
      <xdr:row>39</xdr:row>
      <xdr:rowOff>28575</xdr:rowOff>
    </xdr:to>
    <xdr:sp macro="" textlink="">
      <xdr:nvSpPr>
        <xdr:cNvPr id="2071721" name="Text Box 169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295275</xdr:colOff>
      <xdr:row>38</xdr:row>
      <xdr:rowOff>0</xdr:rowOff>
    </xdr:from>
    <xdr:to>
      <xdr:col>18</xdr:col>
      <xdr:colOff>400050</xdr:colOff>
      <xdr:row>39</xdr:row>
      <xdr:rowOff>28575</xdr:rowOff>
    </xdr:to>
    <xdr:sp macro="" textlink="">
      <xdr:nvSpPr>
        <xdr:cNvPr id="2071722" name="Text Box 170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295275</xdr:colOff>
      <xdr:row>38</xdr:row>
      <xdr:rowOff>0</xdr:rowOff>
    </xdr:from>
    <xdr:to>
      <xdr:col>18</xdr:col>
      <xdr:colOff>400050</xdr:colOff>
      <xdr:row>39</xdr:row>
      <xdr:rowOff>28575</xdr:rowOff>
    </xdr:to>
    <xdr:sp macro="" textlink="">
      <xdr:nvSpPr>
        <xdr:cNvPr id="2071723" name="Text Box 17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295275</xdr:colOff>
      <xdr:row>38</xdr:row>
      <xdr:rowOff>0</xdr:rowOff>
    </xdr:from>
    <xdr:to>
      <xdr:col>18</xdr:col>
      <xdr:colOff>400050</xdr:colOff>
      <xdr:row>39</xdr:row>
      <xdr:rowOff>28575</xdr:rowOff>
    </xdr:to>
    <xdr:sp macro="" textlink="">
      <xdr:nvSpPr>
        <xdr:cNvPr id="2071724" name="Text Box 172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295275</xdr:colOff>
      <xdr:row>38</xdr:row>
      <xdr:rowOff>0</xdr:rowOff>
    </xdr:from>
    <xdr:to>
      <xdr:col>18</xdr:col>
      <xdr:colOff>400050</xdr:colOff>
      <xdr:row>39</xdr:row>
      <xdr:rowOff>28575</xdr:rowOff>
    </xdr:to>
    <xdr:sp macro="" textlink="">
      <xdr:nvSpPr>
        <xdr:cNvPr id="2071725" name="Text Box 173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295275</xdr:colOff>
      <xdr:row>38</xdr:row>
      <xdr:rowOff>0</xdr:rowOff>
    </xdr:from>
    <xdr:to>
      <xdr:col>18</xdr:col>
      <xdr:colOff>400050</xdr:colOff>
      <xdr:row>39</xdr:row>
      <xdr:rowOff>28575</xdr:rowOff>
    </xdr:to>
    <xdr:sp macro="" textlink="">
      <xdr:nvSpPr>
        <xdr:cNvPr id="2071726" name="Text Box 174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295275</xdr:colOff>
      <xdr:row>38</xdr:row>
      <xdr:rowOff>0</xdr:rowOff>
    </xdr:from>
    <xdr:to>
      <xdr:col>18</xdr:col>
      <xdr:colOff>400050</xdr:colOff>
      <xdr:row>39</xdr:row>
      <xdr:rowOff>28575</xdr:rowOff>
    </xdr:to>
    <xdr:sp macro="" textlink="">
      <xdr:nvSpPr>
        <xdr:cNvPr id="2071727" name="Text Box 175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295275</xdr:colOff>
      <xdr:row>38</xdr:row>
      <xdr:rowOff>0</xdr:rowOff>
    </xdr:from>
    <xdr:to>
      <xdr:col>18</xdr:col>
      <xdr:colOff>400050</xdr:colOff>
      <xdr:row>39</xdr:row>
      <xdr:rowOff>28575</xdr:rowOff>
    </xdr:to>
    <xdr:sp macro="" textlink="">
      <xdr:nvSpPr>
        <xdr:cNvPr id="2071728" name="Text Box 198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295275</xdr:colOff>
      <xdr:row>38</xdr:row>
      <xdr:rowOff>0</xdr:rowOff>
    </xdr:from>
    <xdr:to>
      <xdr:col>18</xdr:col>
      <xdr:colOff>400050</xdr:colOff>
      <xdr:row>39</xdr:row>
      <xdr:rowOff>28575</xdr:rowOff>
    </xdr:to>
    <xdr:sp macro="" textlink="">
      <xdr:nvSpPr>
        <xdr:cNvPr id="2071729" name="Text Box 199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295275</xdr:colOff>
      <xdr:row>38</xdr:row>
      <xdr:rowOff>0</xdr:rowOff>
    </xdr:from>
    <xdr:to>
      <xdr:col>18</xdr:col>
      <xdr:colOff>400050</xdr:colOff>
      <xdr:row>39</xdr:row>
      <xdr:rowOff>28575</xdr:rowOff>
    </xdr:to>
    <xdr:sp macro="" textlink="">
      <xdr:nvSpPr>
        <xdr:cNvPr id="2071730" name="Text Box 200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295275</xdr:colOff>
      <xdr:row>38</xdr:row>
      <xdr:rowOff>0</xdr:rowOff>
    </xdr:from>
    <xdr:to>
      <xdr:col>18</xdr:col>
      <xdr:colOff>400050</xdr:colOff>
      <xdr:row>39</xdr:row>
      <xdr:rowOff>28575</xdr:rowOff>
    </xdr:to>
    <xdr:sp macro="" textlink="">
      <xdr:nvSpPr>
        <xdr:cNvPr id="2071731" name="Text Box 20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295275</xdr:colOff>
      <xdr:row>38</xdr:row>
      <xdr:rowOff>0</xdr:rowOff>
    </xdr:from>
    <xdr:to>
      <xdr:col>18</xdr:col>
      <xdr:colOff>400050</xdr:colOff>
      <xdr:row>39</xdr:row>
      <xdr:rowOff>28575</xdr:rowOff>
    </xdr:to>
    <xdr:sp macro="" textlink="">
      <xdr:nvSpPr>
        <xdr:cNvPr id="2071732" name="Text Box 202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295275</xdr:colOff>
      <xdr:row>38</xdr:row>
      <xdr:rowOff>0</xdr:rowOff>
    </xdr:from>
    <xdr:to>
      <xdr:col>18</xdr:col>
      <xdr:colOff>400050</xdr:colOff>
      <xdr:row>39</xdr:row>
      <xdr:rowOff>28575</xdr:rowOff>
    </xdr:to>
    <xdr:sp macro="" textlink="">
      <xdr:nvSpPr>
        <xdr:cNvPr id="2071733" name="Text Box 203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295275</xdr:colOff>
      <xdr:row>38</xdr:row>
      <xdr:rowOff>0</xdr:rowOff>
    </xdr:from>
    <xdr:to>
      <xdr:col>18</xdr:col>
      <xdr:colOff>400050</xdr:colOff>
      <xdr:row>39</xdr:row>
      <xdr:rowOff>28575</xdr:rowOff>
    </xdr:to>
    <xdr:sp macro="" textlink="">
      <xdr:nvSpPr>
        <xdr:cNvPr id="2071734" name="Text Box 204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295275</xdr:colOff>
      <xdr:row>38</xdr:row>
      <xdr:rowOff>0</xdr:rowOff>
    </xdr:from>
    <xdr:to>
      <xdr:col>18</xdr:col>
      <xdr:colOff>400050</xdr:colOff>
      <xdr:row>39</xdr:row>
      <xdr:rowOff>28575</xdr:rowOff>
    </xdr:to>
    <xdr:sp macro="" textlink="">
      <xdr:nvSpPr>
        <xdr:cNvPr id="2071735" name="Text Box 260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295275</xdr:colOff>
      <xdr:row>38</xdr:row>
      <xdr:rowOff>0</xdr:rowOff>
    </xdr:from>
    <xdr:to>
      <xdr:col>18</xdr:col>
      <xdr:colOff>400050</xdr:colOff>
      <xdr:row>39</xdr:row>
      <xdr:rowOff>28575</xdr:rowOff>
    </xdr:to>
    <xdr:sp macro="" textlink="">
      <xdr:nvSpPr>
        <xdr:cNvPr id="2071736" name="Text Box 26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295275</xdr:colOff>
      <xdr:row>38</xdr:row>
      <xdr:rowOff>0</xdr:rowOff>
    </xdr:from>
    <xdr:to>
      <xdr:col>18</xdr:col>
      <xdr:colOff>400050</xdr:colOff>
      <xdr:row>39</xdr:row>
      <xdr:rowOff>28575</xdr:rowOff>
    </xdr:to>
    <xdr:sp macro="" textlink="">
      <xdr:nvSpPr>
        <xdr:cNvPr id="2071737" name="Text Box 97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295275</xdr:colOff>
      <xdr:row>38</xdr:row>
      <xdr:rowOff>0</xdr:rowOff>
    </xdr:from>
    <xdr:to>
      <xdr:col>18</xdr:col>
      <xdr:colOff>400050</xdr:colOff>
      <xdr:row>39</xdr:row>
      <xdr:rowOff>28575</xdr:rowOff>
    </xdr:to>
    <xdr:sp macro="" textlink="">
      <xdr:nvSpPr>
        <xdr:cNvPr id="2071738" name="Text Box 972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295275</xdr:colOff>
      <xdr:row>38</xdr:row>
      <xdr:rowOff>0</xdr:rowOff>
    </xdr:from>
    <xdr:to>
      <xdr:col>18</xdr:col>
      <xdr:colOff>400050</xdr:colOff>
      <xdr:row>39</xdr:row>
      <xdr:rowOff>28575</xdr:rowOff>
    </xdr:to>
    <xdr:sp macro="" textlink="">
      <xdr:nvSpPr>
        <xdr:cNvPr id="2071739" name="Text Box 973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295275</xdr:colOff>
      <xdr:row>38</xdr:row>
      <xdr:rowOff>0</xdr:rowOff>
    </xdr:from>
    <xdr:to>
      <xdr:col>18</xdr:col>
      <xdr:colOff>400050</xdr:colOff>
      <xdr:row>39</xdr:row>
      <xdr:rowOff>28575</xdr:rowOff>
    </xdr:to>
    <xdr:sp macro="" textlink="">
      <xdr:nvSpPr>
        <xdr:cNvPr id="2071740" name="Text Box 974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352425</xdr:colOff>
      <xdr:row>38</xdr:row>
      <xdr:rowOff>0</xdr:rowOff>
    </xdr:from>
    <xdr:to>
      <xdr:col>17</xdr:col>
      <xdr:colOff>361950</xdr:colOff>
      <xdr:row>39</xdr:row>
      <xdr:rowOff>28575</xdr:rowOff>
    </xdr:to>
    <xdr:sp macro="" textlink="">
      <xdr:nvSpPr>
        <xdr:cNvPr id="2071741" name="Text Box 168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352425</xdr:colOff>
      <xdr:row>38</xdr:row>
      <xdr:rowOff>0</xdr:rowOff>
    </xdr:from>
    <xdr:to>
      <xdr:col>17</xdr:col>
      <xdr:colOff>361950</xdr:colOff>
      <xdr:row>39</xdr:row>
      <xdr:rowOff>28575</xdr:rowOff>
    </xdr:to>
    <xdr:sp macro="" textlink="">
      <xdr:nvSpPr>
        <xdr:cNvPr id="2071742" name="Text Box 169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352425</xdr:colOff>
      <xdr:row>38</xdr:row>
      <xdr:rowOff>0</xdr:rowOff>
    </xdr:from>
    <xdr:to>
      <xdr:col>17</xdr:col>
      <xdr:colOff>361950</xdr:colOff>
      <xdr:row>39</xdr:row>
      <xdr:rowOff>28575</xdr:rowOff>
    </xdr:to>
    <xdr:sp macro="" textlink="">
      <xdr:nvSpPr>
        <xdr:cNvPr id="2071743" name="Text Box 170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352425</xdr:colOff>
      <xdr:row>38</xdr:row>
      <xdr:rowOff>0</xdr:rowOff>
    </xdr:from>
    <xdr:to>
      <xdr:col>17</xdr:col>
      <xdr:colOff>361950</xdr:colOff>
      <xdr:row>39</xdr:row>
      <xdr:rowOff>28575</xdr:rowOff>
    </xdr:to>
    <xdr:sp macro="" textlink="">
      <xdr:nvSpPr>
        <xdr:cNvPr id="2071744" name="Text Box 17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352425</xdr:colOff>
      <xdr:row>38</xdr:row>
      <xdr:rowOff>0</xdr:rowOff>
    </xdr:from>
    <xdr:to>
      <xdr:col>17</xdr:col>
      <xdr:colOff>361950</xdr:colOff>
      <xdr:row>39</xdr:row>
      <xdr:rowOff>28575</xdr:rowOff>
    </xdr:to>
    <xdr:sp macro="" textlink="">
      <xdr:nvSpPr>
        <xdr:cNvPr id="2071745" name="Text Box 172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352425</xdr:colOff>
      <xdr:row>38</xdr:row>
      <xdr:rowOff>0</xdr:rowOff>
    </xdr:from>
    <xdr:to>
      <xdr:col>17</xdr:col>
      <xdr:colOff>361950</xdr:colOff>
      <xdr:row>39</xdr:row>
      <xdr:rowOff>28575</xdr:rowOff>
    </xdr:to>
    <xdr:sp macro="" textlink="">
      <xdr:nvSpPr>
        <xdr:cNvPr id="2071746" name="Text Box 173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352425</xdr:colOff>
      <xdr:row>38</xdr:row>
      <xdr:rowOff>0</xdr:rowOff>
    </xdr:from>
    <xdr:to>
      <xdr:col>17</xdr:col>
      <xdr:colOff>361950</xdr:colOff>
      <xdr:row>39</xdr:row>
      <xdr:rowOff>28575</xdr:rowOff>
    </xdr:to>
    <xdr:sp macro="" textlink="">
      <xdr:nvSpPr>
        <xdr:cNvPr id="2071747" name="Text Box 174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352425</xdr:colOff>
      <xdr:row>38</xdr:row>
      <xdr:rowOff>0</xdr:rowOff>
    </xdr:from>
    <xdr:to>
      <xdr:col>17</xdr:col>
      <xdr:colOff>361950</xdr:colOff>
      <xdr:row>39</xdr:row>
      <xdr:rowOff>28575</xdr:rowOff>
    </xdr:to>
    <xdr:sp macro="" textlink="">
      <xdr:nvSpPr>
        <xdr:cNvPr id="2071748" name="Text Box 175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352425</xdr:colOff>
      <xdr:row>38</xdr:row>
      <xdr:rowOff>0</xdr:rowOff>
    </xdr:from>
    <xdr:to>
      <xdr:col>17</xdr:col>
      <xdr:colOff>361950</xdr:colOff>
      <xdr:row>39</xdr:row>
      <xdr:rowOff>28575</xdr:rowOff>
    </xdr:to>
    <xdr:sp macro="" textlink="">
      <xdr:nvSpPr>
        <xdr:cNvPr id="2071749" name="Text Box 198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352425</xdr:colOff>
      <xdr:row>38</xdr:row>
      <xdr:rowOff>0</xdr:rowOff>
    </xdr:from>
    <xdr:to>
      <xdr:col>17</xdr:col>
      <xdr:colOff>361950</xdr:colOff>
      <xdr:row>39</xdr:row>
      <xdr:rowOff>28575</xdr:rowOff>
    </xdr:to>
    <xdr:sp macro="" textlink="">
      <xdr:nvSpPr>
        <xdr:cNvPr id="2071750" name="Text Box 199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352425</xdr:colOff>
      <xdr:row>38</xdr:row>
      <xdr:rowOff>0</xdr:rowOff>
    </xdr:from>
    <xdr:to>
      <xdr:col>17</xdr:col>
      <xdr:colOff>361950</xdr:colOff>
      <xdr:row>39</xdr:row>
      <xdr:rowOff>28575</xdr:rowOff>
    </xdr:to>
    <xdr:sp macro="" textlink="">
      <xdr:nvSpPr>
        <xdr:cNvPr id="2071751" name="Text Box 200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352425</xdr:colOff>
      <xdr:row>38</xdr:row>
      <xdr:rowOff>0</xdr:rowOff>
    </xdr:from>
    <xdr:to>
      <xdr:col>17</xdr:col>
      <xdr:colOff>361950</xdr:colOff>
      <xdr:row>39</xdr:row>
      <xdr:rowOff>28575</xdr:rowOff>
    </xdr:to>
    <xdr:sp macro="" textlink="">
      <xdr:nvSpPr>
        <xdr:cNvPr id="2071752" name="Text Box 20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352425</xdr:colOff>
      <xdr:row>38</xdr:row>
      <xdr:rowOff>0</xdr:rowOff>
    </xdr:from>
    <xdr:to>
      <xdr:col>17</xdr:col>
      <xdr:colOff>361950</xdr:colOff>
      <xdr:row>39</xdr:row>
      <xdr:rowOff>28575</xdr:rowOff>
    </xdr:to>
    <xdr:sp macro="" textlink="">
      <xdr:nvSpPr>
        <xdr:cNvPr id="2071753" name="Text Box 202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352425</xdr:colOff>
      <xdr:row>38</xdr:row>
      <xdr:rowOff>0</xdr:rowOff>
    </xdr:from>
    <xdr:to>
      <xdr:col>17</xdr:col>
      <xdr:colOff>361950</xdr:colOff>
      <xdr:row>39</xdr:row>
      <xdr:rowOff>28575</xdr:rowOff>
    </xdr:to>
    <xdr:sp macro="" textlink="">
      <xdr:nvSpPr>
        <xdr:cNvPr id="2071754" name="Text Box 203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352425</xdr:colOff>
      <xdr:row>38</xdr:row>
      <xdr:rowOff>0</xdr:rowOff>
    </xdr:from>
    <xdr:to>
      <xdr:col>17</xdr:col>
      <xdr:colOff>361950</xdr:colOff>
      <xdr:row>39</xdr:row>
      <xdr:rowOff>28575</xdr:rowOff>
    </xdr:to>
    <xdr:sp macro="" textlink="">
      <xdr:nvSpPr>
        <xdr:cNvPr id="2071755" name="Text Box 204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352425</xdr:colOff>
      <xdr:row>38</xdr:row>
      <xdr:rowOff>0</xdr:rowOff>
    </xdr:from>
    <xdr:to>
      <xdr:col>17</xdr:col>
      <xdr:colOff>361950</xdr:colOff>
      <xdr:row>39</xdr:row>
      <xdr:rowOff>28575</xdr:rowOff>
    </xdr:to>
    <xdr:sp macro="" textlink="">
      <xdr:nvSpPr>
        <xdr:cNvPr id="2071756" name="Text Box 260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352425</xdr:colOff>
      <xdr:row>38</xdr:row>
      <xdr:rowOff>0</xdr:rowOff>
    </xdr:from>
    <xdr:to>
      <xdr:col>17</xdr:col>
      <xdr:colOff>361950</xdr:colOff>
      <xdr:row>39</xdr:row>
      <xdr:rowOff>28575</xdr:rowOff>
    </xdr:to>
    <xdr:sp macro="" textlink="">
      <xdr:nvSpPr>
        <xdr:cNvPr id="2071757" name="Text Box 26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352425</xdr:colOff>
      <xdr:row>38</xdr:row>
      <xdr:rowOff>0</xdr:rowOff>
    </xdr:from>
    <xdr:to>
      <xdr:col>17</xdr:col>
      <xdr:colOff>361950</xdr:colOff>
      <xdr:row>39</xdr:row>
      <xdr:rowOff>28575</xdr:rowOff>
    </xdr:to>
    <xdr:sp macro="" textlink="">
      <xdr:nvSpPr>
        <xdr:cNvPr id="2071758" name="Text Box 97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352425</xdr:colOff>
      <xdr:row>38</xdr:row>
      <xdr:rowOff>0</xdr:rowOff>
    </xdr:from>
    <xdr:to>
      <xdr:col>17</xdr:col>
      <xdr:colOff>361950</xdr:colOff>
      <xdr:row>39</xdr:row>
      <xdr:rowOff>28575</xdr:rowOff>
    </xdr:to>
    <xdr:sp macro="" textlink="">
      <xdr:nvSpPr>
        <xdr:cNvPr id="2071759" name="Text Box 972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352425</xdr:colOff>
      <xdr:row>38</xdr:row>
      <xdr:rowOff>0</xdr:rowOff>
    </xdr:from>
    <xdr:to>
      <xdr:col>17</xdr:col>
      <xdr:colOff>361950</xdr:colOff>
      <xdr:row>39</xdr:row>
      <xdr:rowOff>28575</xdr:rowOff>
    </xdr:to>
    <xdr:sp macro="" textlink="">
      <xdr:nvSpPr>
        <xdr:cNvPr id="2071760" name="Text Box 973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352425</xdr:colOff>
      <xdr:row>38</xdr:row>
      <xdr:rowOff>0</xdr:rowOff>
    </xdr:from>
    <xdr:to>
      <xdr:col>17</xdr:col>
      <xdr:colOff>361950</xdr:colOff>
      <xdr:row>39</xdr:row>
      <xdr:rowOff>28575</xdr:rowOff>
    </xdr:to>
    <xdr:sp macro="" textlink="">
      <xdr:nvSpPr>
        <xdr:cNvPr id="2071761" name="Text Box 974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295275</xdr:colOff>
      <xdr:row>38</xdr:row>
      <xdr:rowOff>0</xdr:rowOff>
    </xdr:from>
    <xdr:to>
      <xdr:col>17</xdr:col>
      <xdr:colOff>400050</xdr:colOff>
      <xdr:row>39</xdr:row>
      <xdr:rowOff>28575</xdr:rowOff>
    </xdr:to>
    <xdr:sp macro="" textlink="">
      <xdr:nvSpPr>
        <xdr:cNvPr id="2071762" name="Text Box 168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295275</xdr:colOff>
      <xdr:row>38</xdr:row>
      <xdr:rowOff>0</xdr:rowOff>
    </xdr:from>
    <xdr:to>
      <xdr:col>17</xdr:col>
      <xdr:colOff>400050</xdr:colOff>
      <xdr:row>39</xdr:row>
      <xdr:rowOff>28575</xdr:rowOff>
    </xdr:to>
    <xdr:sp macro="" textlink="">
      <xdr:nvSpPr>
        <xdr:cNvPr id="2071763" name="Text Box 169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295275</xdr:colOff>
      <xdr:row>38</xdr:row>
      <xdr:rowOff>0</xdr:rowOff>
    </xdr:from>
    <xdr:to>
      <xdr:col>17</xdr:col>
      <xdr:colOff>400050</xdr:colOff>
      <xdr:row>39</xdr:row>
      <xdr:rowOff>28575</xdr:rowOff>
    </xdr:to>
    <xdr:sp macro="" textlink="">
      <xdr:nvSpPr>
        <xdr:cNvPr id="2071764" name="Text Box 170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295275</xdr:colOff>
      <xdr:row>38</xdr:row>
      <xdr:rowOff>0</xdr:rowOff>
    </xdr:from>
    <xdr:to>
      <xdr:col>17</xdr:col>
      <xdr:colOff>400050</xdr:colOff>
      <xdr:row>39</xdr:row>
      <xdr:rowOff>28575</xdr:rowOff>
    </xdr:to>
    <xdr:sp macro="" textlink="">
      <xdr:nvSpPr>
        <xdr:cNvPr id="2071765" name="Text Box 17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295275</xdr:colOff>
      <xdr:row>38</xdr:row>
      <xdr:rowOff>0</xdr:rowOff>
    </xdr:from>
    <xdr:to>
      <xdr:col>17</xdr:col>
      <xdr:colOff>400050</xdr:colOff>
      <xdr:row>39</xdr:row>
      <xdr:rowOff>28575</xdr:rowOff>
    </xdr:to>
    <xdr:sp macro="" textlink="">
      <xdr:nvSpPr>
        <xdr:cNvPr id="2071766" name="Text Box 172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295275</xdr:colOff>
      <xdr:row>38</xdr:row>
      <xdr:rowOff>0</xdr:rowOff>
    </xdr:from>
    <xdr:to>
      <xdr:col>17</xdr:col>
      <xdr:colOff>400050</xdr:colOff>
      <xdr:row>39</xdr:row>
      <xdr:rowOff>28575</xdr:rowOff>
    </xdr:to>
    <xdr:sp macro="" textlink="">
      <xdr:nvSpPr>
        <xdr:cNvPr id="2071767" name="Text Box 173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295275</xdr:colOff>
      <xdr:row>38</xdr:row>
      <xdr:rowOff>0</xdr:rowOff>
    </xdr:from>
    <xdr:to>
      <xdr:col>17</xdr:col>
      <xdr:colOff>400050</xdr:colOff>
      <xdr:row>39</xdr:row>
      <xdr:rowOff>28575</xdr:rowOff>
    </xdr:to>
    <xdr:sp macro="" textlink="">
      <xdr:nvSpPr>
        <xdr:cNvPr id="2071768" name="Text Box 174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295275</xdr:colOff>
      <xdr:row>38</xdr:row>
      <xdr:rowOff>0</xdr:rowOff>
    </xdr:from>
    <xdr:to>
      <xdr:col>17</xdr:col>
      <xdr:colOff>400050</xdr:colOff>
      <xdr:row>39</xdr:row>
      <xdr:rowOff>28575</xdr:rowOff>
    </xdr:to>
    <xdr:sp macro="" textlink="">
      <xdr:nvSpPr>
        <xdr:cNvPr id="2071769" name="Text Box 175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295275</xdr:colOff>
      <xdr:row>38</xdr:row>
      <xdr:rowOff>0</xdr:rowOff>
    </xdr:from>
    <xdr:to>
      <xdr:col>17</xdr:col>
      <xdr:colOff>400050</xdr:colOff>
      <xdr:row>39</xdr:row>
      <xdr:rowOff>28575</xdr:rowOff>
    </xdr:to>
    <xdr:sp macro="" textlink="">
      <xdr:nvSpPr>
        <xdr:cNvPr id="2071770" name="Text Box 198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295275</xdr:colOff>
      <xdr:row>38</xdr:row>
      <xdr:rowOff>0</xdr:rowOff>
    </xdr:from>
    <xdr:to>
      <xdr:col>17</xdr:col>
      <xdr:colOff>400050</xdr:colOff>
      <xdr:row>39</xdr:row>
      <xdr:rowOff>28575</xdr:rowOff>
    </xdr:to>
    <xdr:sp macro="" textlink="">
      <xdr:nvSpPr>
        <xdr:cNvPr id="2071771" name="Text Box 199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295275</xdr:colOff>
      <xdr:row>38</xdr:row>
      <xdr:rowOff>0</xdr:rowOff>
    </xdr:from>
    <xdr:to>
      <xdr:col>17</xdr:col>
      <xdr:colOff>400050</xdr:colOff>
      <xdr:row>39</xdr:row>
      <xdr:rowOff>28575</xdr:rowOff>
    </xdr:to>
    <xdr:sp macro="" textlink="">
      <xdr:nvSpPr>
        <xdr:cNvPr id="2071772" name="Text Box 200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295275</xdr:colOff>
      <xdr:row>38</xdr:row>
      <xdr:rowOff>0</xdr:rowOff>
    </xdr:from>
    <xdr:to>
      <xdr:col>17</xdr:col>
      <xdr:colOff>400050</xdr:colOff>
      <xdr:row>39</xdr:row>
      <xdr:rowOff>28575</xdr:rowOff>
    </xdr:to>
    <xdr:sp macro="" textlink="">
      <xdr:nvSpPr>
        <xdr:cNvPr id="2071773" name="Text Box 20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295275</xdr:colOff>
      <xdr:row>38</xdr:row>
      <xdr:rowOff>0</xdr:rowOff>
    </xdr:from>
    <xdr:to>
      <xdr:col>17</xdr:col>
      <xdr:colOff>400050</xdr:colOff>
      <xdr:row>39</xdr:row>
      <xdr:rowOff>28575</xdr:rowOff>
    </xdr:to>
    <xdr:sp macro="" textlink="">
      <xdr:nvSpPr>
        <xdr:cNvPr id="2071774" name="Text Box 202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295275</xdr:colOff>
      <xdr:row>38</xdr:row>
      <xdr:rowOff>0</xdr:rowOff>
    </xdr:from>
    <xdr:to>
      <xdr:col>17</xdr:col>
      <xdr:colOff>400050</xdr:colOff>
      <xdr:row>39</xdr:row>
      <xdr:rowOff>28575</xdr:rowOff>
    </xdr:to>
    <xdr:sp macro="" textlink="">
      <xdr:nvSpPr>
        <xdr:cNvPr id="2071775" name="Text Box 203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295275</xdr:colOff>
      <xdr:row>38</xdr:row>
      <xdr:rowOff>0</xdr:rowOff>
    </xdr:from>
    <xdr:to>
      <xdr:col>17</xdr:col>
      <xdr:colOff>400050</xdr:colOff>
      <xdr:row>39</xdr:row>
      <xdr:rowOff>28575</xdr:rowOff>
    </xdr:to>
    <xdr:sp macro="" textlink="">
      <xdr:nvSpPr>
        <xdr:cNvPr id="2071776" name="Text Box 204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295275</xdr:colOff>
      <xdr:row>38</xdr:row>
      <xdr:rowOff>0</xdr:rowOff>
    </xdr:from>
    <xdr:to>
      <xdr:col>17</xdr:col>
      <xdr:colOff>400050</xdr:colOff>
      <xdr:row>39</xdr:row>
      <xdr:rowOff>28575</xdr:rowOff>
    </xdr:to>
    <xdr:sp macro="" textlink="">
      <xdr:nvSpPr>
        <xdr:cNvPr id="2071777" name="Text Box 260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295275</xdr:colOff>
      <xdr:row>38</xdr:row>
      <xdr:rowOff>0</xdr:rowOff>
    </xdr:from>
    <xdr:to>
      <xdr:col>17</xdr:col>
      <xdr:colOff>400050</xdr:colOff>
      <xdr:row>39</xdr:row>
      <xdr:rowOff>28575</xdr:rowOff>
    </xdr:to>
    <xdr:sp macro="" textlink="">
      <xdr:nvSpPr>
        <xdr:cNvPr id="2071778" name="Text Box 26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295275</xdr:colOff>
      <xdr:row>38</xdr:row>
      <xdr:rowOff>0</xdr:rowOff>
    </xdr:from>
    <xdr:to>
      <xdr:col>17</xdr:col>
      <xdr:colOff>400050</xdr:colOff>
      <xdr:row>39</xdr:row>
      <xdr:rowOff>28575</xdr:rowOff>
    </xdr:to>
    <xdr:sp macro="" textlink="">
      <xdr:nvSpPr>
        <xdr:cNvPr id="2071779" name="Text Box 97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295275</xdr:colOff>
      <xdr:row>38</xdr:row>
      <xdr:rowOff>0</xdr:rowOff>
    </xdr:from>
    <xdr:to>
      <xdr:col>17</xdr:col>
      <xdr:colOff>400050</xdr:colOff>
      <xdr:row>39</xdr:row>
      <xdr:rowOff>28575</xdr:rowOff>
    </xdr:to>
    <xdr:sp macro="" textlink="">
      <xdr:nvSpPr>
        <xdr:cNvPr id="2071780" name="Text Box 972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295275</xdr:colOff>
      <xdr:row>38</xdr:row>
      <xdr:rowOff>0</xdr:rowOff>
    </xdr:from>
    <xdr:to>
      <xdr:col>17</xdr:col>
      <xdr:colOff>400050</xdr:colOff>
      <xdr:row>39</xdr:row>
      <xdr:rowOff>28575</xdr:rowOff>
    </xdr:to>
    <xdr:sp macro="" textlink="">
      <xdr:nvSpPr>
        <xdr:cNvPr id="2071781" name="Text Box 973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295275</xdr:colOff>
      <xdr:row>38</xdr:row>
      <xdr:rowOff>0</xdr:rowOff>
    </xdr:from>
    <xdr:to>
      <xdr:col>17</xdr:col>
      <xdr:colOff>400050</xdr:colOff>
      <xdr:row>39</xdr:row>
      <xdr:rowOff>28575</xdr:rowOff>
    </xdr:to>
    <xdr:sp macro="" textlink="">
      <xdr:nvSpPr>
        <xdr:cNvPr id="2071782" name="Text Box 974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352425</xdr:colOff>
      <xdr:row>38</xdr:row>
      <xdr:rowOff>0</xdr:rowOff>
    </xdr:from>
    <xdr:to>
      <xdr:col>18</xdr:col>
      <xdr:colOff>361950</xdr:colOff>
      <xdr:row>39</xdr:row>
      <xdr:rowOff>28575</xdr:rowOff>
    </xdr:to>
    <xdr:sp macro="" textlink="">
      <xdr:nvSpPr>
        <xdr:cNvPr id="2071783" name="Text Box 168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352425</xdr:colOff>
      <xdr:row>38</xdr:row>
      <xdr:rowOff>0</xdr:rowOff>
    </xdr:from>
    <xdr:to>
      <xdr:col>18</xdr:col>
      <xdr:colOff>361950</xdr:colOff>
      <xdr:row>39</xdr:row>
      <xdr:rowOff>28575</xdr:rowOff>
    </xdr:to>
    <xdr:sp macro="" textlink="">
      <xdr:nvSpPr>
        <xdr:cNvPr id="2071784" name="Text Box 169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352425</xdr:colOff>
      <xdr:row>38</xdr:row>
      <xdr:rowOff>0</xdr:rowOff>
    </xdr:from>
    <xdr:to>
      <xdr:col>18</xdr:col>
      <xdr:colOff>361950</xdr:colOff>
      <xdr:row>39</xdr:row>
      <xdr:rowOff>28575</xdr:rowOff>
    </xdr:to>
    <xdr:sp macro="" textlink="">
      <xdr:nvSpPr>
        <xdr:cNvPr id="2071785" name="Text Box 170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352425</xdr:colOff>
      <xdr:row>38</xdr:row>
      <xdr:rowOff>0</xdr:rowOff>
    </xdr:from>
    <xdr:to>
      <xdr:col>18</xdr:col>
      <xdr:colOff>361950</xdr:colOff>
      <xdr:row>39</xdr:row>
      <xdr:rowOff>28575</xdr:rowOff>
    </xdr:to>
    <xdr:sp macro="" textlink="">
      <xdr:nvSpPr>
        <xdr:cNvPr id="2071786" name="Text Box 17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352425</xdr:colOff>
      <xdr:row>38</xdr:row>
      <xdr:rowOff>0</xdr:rowOff>
    </xdr:from>
    <xdr:to>
      <xdr:col>18</xdr:col>
      <xdr:colOff>361950</xdr:colOff>
      <xdr:row>39</xdr:row>
      <xdr:rowOff>28575</xdr:rowOff>
    </xdr:to>
    <xdr:sp macro="" textlink="">
      <xdr:nvSpPr>
        <xdr:cNvPr id="2071787" name="Text Box 172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352425</xdr:colOff>
      <xdr:row>38</xdr:row>
      <xdr:rowOff>0</xdr:rowOff>
    </xdr:from>
    <xdr:to>
      <xdr:col>18</xdr:col>
      <xdr:colOff>361950</xdr:colOff>
      <xdr:row>39</xdr:row>
      <xdr:rowOff>28575</xdr:rowOff>
    </xdr:to>
    <xdr:sp macro="" textlink="">
      <xdr:nvSpPr>
        <xdr:cNvPr id="2071788" name="Text Box 173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352425</xdr:colOff>
      <xdr:row>38</xdr:row>
      <xdr:rowOff>0</xdr:rowOff>
    </xdr:from>
    <xdr:to>
      <xdr:col>18</xdr:col>
      <xdr:colOff>361950</xdr:colOff>
      <xdr:row>39</xdr:row>
      <xdr:rowOff>28575</xdr:rowOff>
    </xdr:to>
    <xdr:sp macro="" textlink="">
      <xdr:nvSpPr>
        <xdr:cNvPr id="2071789" name="Text Box 174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352425</xdr:colOff>
      <xdr:row>38</xdr:row>
      <xdr:rowOff>0</xdr:rowOff>
    </xdr:from>
    <xdr:to>
      <xdr:col>18</xdr:col>
      <xdr:colOff>361950</xdr:colOff>
      <xdr:row>39</xdr:row>
      <xdr:rowOff>28575</xdr:rowOff>
    </xdr:to>
    <xdr:sp macro="" textlink="">
      <xdr:nvSpPr>
        <xdr:cNvPr id="2071790" name="Text Box 175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352425</xdr:colOff>
      <xdr:row>38</xdr:row>
      <xdr:rowOff>0</xdr:rowOff>
    </xdr:from>
    <xdr:to>
      <xdr:col>18</xdr:col>
      <xdr:colOff>361950</xdr:colOff>
      <xdr:row>39</xdr:row>
      <xdr:rowOff>28575</xdr:rowOff>
    </xdr:to>
    <xdr:sp macro="" textlink="">
      <xdr:nvSpPr>
        <xdr:cNvPr id="2071791" name="Text Box 198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352425</xdr:colOff>
      <xdr:row>38</xdr:row>
      <xdr:rowOff>0</xdr:rowOff>
    </xdr:from>
    <xdr:to>
      <xdr:col>18</xdr:col>
      <xdr:colOff>361950</xdr:colOff>
      <xdr:row>39</xdr:row>
      <xdr:rowOff>28575</xdr:rowOff>
    </xdr:to>
    <xdr:sp macro="" textlink="">
      <xdr:nvSpPr>
        <xdr:cNvPr id="2071792" name="Text Box 199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352425</xdr:colOff>
      <xdr:row>38</xdr:row>
      <xdr:rowOff>0</xdr:rowOff>
    </xdr:from>
    <xdr:to>
      <xdr:col>18</xdr:col>
      <xdr:colOff>361950</xdr:colOff>
      <xdr:row>39</xdr:row>
      <xdr:rowOff>28575</xdr:rowOff>
    </xdr:to>
    <xdr:sp macro="" textlink="">
      <xdr:nvSpPr>
        <xdr:cNvPr id="2071793" name="Text Box 200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352425</xdr:colOff>
      <xdr:row>38</xdr:row>
      <xdr:rowOff>0</xdr:rowOff>
    </xdr:from>
    <xdr:to>
      <xdr:col>18</xdr:col>
      <xdr:colOff>361950</xdr:colOff>
      <xdr:row>39</xdr:row>
      <xdr:rowOff>28575</xdr:rowOff>
    </xdr:to>
    <xdr:sp macro="" textlink="">
      <xdr:nvSpPr>
        <xdr:cNvPr id="2071794" name="Text Box 20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352425</xdr:colOff>
      <xdr:row>38</xdr:row>
      <xdr:rowOff>0</xdr:rowOff>
    </xdr:from>
    <xdr:to>
      <xdr:col>18</xdr:col>
      <xdr:colOff>361950</xdr:colOff>
      <xdr:row>39</xdr:row>
      <xdr:rowOff>28575</xdr:rowOff>
    </xdr:to>
    <xdr:sp macro="" textlink="">
      <xdr:nvSpPr>
        <xdr:cNvPr id="2071795" name="Text Box 202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352425</xdr:colOff>
      <xdr:row>38</xdr:row>
      <xdr:rowOff>0</xdr:rowOff>
    </xdr:from>
    <xdr:to>
      <xdr:col>18</xdr:col>
      <xdr:colOff>361950</xdr:colOff>
      <xdr:row>39</xdr:row>
      <xdr:rowOff>28575</xdr:rowOff>
    </xdr:to>
    <xdr:sp macro="" textlink="">
      <xdr:nvSpPr>
        <xdr:cNvPr id="2071796" name="Text Box 203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352425</xdr:colOff>
      <xdr:row>38</xdr:row>
      <xdr:rowOff>0</xdr:rowOff>
    </xdr:from>
    <xdr:to>
      <xdr:col>18</xdr:col>
      <xdr:colOff>361950</xdr:colOff>
      <xdr:row>39</xdr:row>
      <xdr:rowOff>28575</xdr:rowOff>
    </xdr:to>
    <xdr:sp macro="" textlink="">
      <xdr:nvSpPr>
        <xdr:cNvPr id="2071797" name="Text Box 204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352425</xdr:colOff>
      <xdr:row>38</xdr:row>
      <xdr:rowOff>0</xdr:rowOff>
    </xdr:from>
    <xdr:to>
      <xdr:col>18</xdr:col>
      <xdr:colOff>361950</xdr:colOff>
      <xdr:row>39</xdr:row>
      <xdr:rowOff>28575</xdr:rowOff>
    </xdr:to>
    <xdr:sp macro="" textlink="">
      <xdr:nvSpPr>
        <xdr:cNvPr id="2071798" name="Text Box 260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352425</xdr:colOff>
      <xdr:row>38</xdr:row>
      <xdr:rowOff>0</xdr:rowOff>
    </xdr:from>
    <xdr:to>
      <xdr:col>18</xdr:col>
      <xdr:colOff>361950</xdr:colOff>
      <xdr:row>39</xdr:row>
      <xdr:rowOff>28575</xdr:rowOff>
    </xdr:to>
    <xdr:sp macro="" textlink="">
      <xdr:nvSpPr>
        <xdr:cNvPr id="2071799" name="Text Box 26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352425</xdr:colOff>
      <xdr:row>38</xdr:row>
      <xdr:rowOff>0</xdr:rowOff>
    </xdr:from>
    <xdr:to>
      <xdr:col>18</xdr:col>
      <xdr:colOff>361950</xdr:colOff>
      <xdr:row>39</xdr:row>
      <xdr:rowOff>28575</xdr:rowOff>
    </xdr:to>
    <xdr:sp macro="" textlink="">
      <xdr:nvSpPr>
        <xdr:cNvPr id="2071800" name="Text Box 97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352425</xdr:colOff>
      <xdr:row>38</xdr:row>
      <xdr:rowOff>0</xdr:rowOff>
    </xdr:from>
    <xdr:to>
      <xdr:col>18</xdr:col>
      <xdr:colOff>361950</xdr:colOff>
      <xdr:row>39</xdr:row>
      <xdr:rowOff>28575</xdr:rowOff>
    </xdr:to>
    <xdr:sp macro="" textlink="">
      <xdr:nvSpPr>
        <xdr:cNvPr id="2071801" name="Text Box 972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352425</xdr:colOff>
      <xdr:row>38</xdr:row>
      <xdr:rowOff>0</xdr:rowOff>
    </xdr:from>
    <xdr:to>
      <xdr:col>18</xdr:col>
      <xdr:colOff>361950</xdr:colOff>
      <xdr:row>39</xdr:row>
      <xdr:rowOff>28575</xdr:rowOff>
    </xdr:to>
    <xdr:sp macro="" textlink="">
      <xdr:nvSpPr>
        <xdr:cNvPr id="2071802" name="Text Box 973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352425</xdr:colOff>
      <xdr:row>38</xdr:row>
      <xdr:rowOff>0</xdr:rowOff>
    </xdr:from>
    <xdr:to>
      <xdr:col>18</xdr:col>
      <xdr:colOff>361950</xdr:colOff>
      <xdr:row>39</xdr:row>
      <xdr:rowOff>28575</xdr:rowOff>
    </xdr:to>
    <xdr:sp macro="" textlink="">
      <xdr:nvSpPr>
        <xdr:cNvPr id="2071803" name="Text Box 974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295275</xdr:colOff>
      <xdr:row>38</xdr:row>
      <xdr:rowOff>0</xdr:rowOff>
    </xdr:from>
    <xdr:to>
      <xdr:col>18</xdr:col>
      <xdr:colOff>400050</xdr:colOff>
      <xdr:row>39</xdr:row>
      <xdr:rowOff>28575</xdr:rowOff>
    </xdr:to>
    <xdr:sp macro="" textlink="">
      <xdr:nvSpPr>
        <xdr:cNvPr id="2071804" name="Text Box 168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295275</xdr:colOff>
      <xdr:row>38</xdr:row>
      <xdr:rowOff>0</xdr:rowOff>
    </xdr:from>
    <xdr:to>
      <xdr:col>18</xdr:col>
      <xdr:colOff>400050</xdr:colOff>
      <xdr:row>39</xdr:row>
      <xdr:rowOff>28575</xdr:rowOff>
    </xdr:to>
    <xdr:sp macro="" textlink="">
      <xdr:nvSpPr>
        <xdr:cNvPr id="2071805" name="Text Box 169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295275</xdr:colOff>
      <xdr:row>38</xdr:row>
      <xdr:rowOff>0</xdr:rowOff>
    </xdr:from>
    <xdr:to>
      <xdr:col>18</xdr:col>
      <xdr:colOff>400050</xdr:colOff>
      <xdr:row>39</xdr:row>
      <xdr:rowOff>28575</xdr:rowOff>
    </xdr:to>
    <xdr:sp macro="" textlink="">
      <xdr:nvSpPr>
        <xdr:cNvPr id="2071806" name="Text Box 170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295275</xdr:colOff>
      <xdr:row>38</xdr:row>
      <xdr:rowOff>0</xdr:rowOff>
    </xdr:from>
    <xdr:to>
      <xdr:col>18</xdr:col>
      <xdr:colOff>400050</xdr:colOff>
      <xdr:row>39</xdr:row>
      <xdr:rowOff>28575</xdr:rowOff>
    </xdr:to>
    <xdr:sp macro="" textlink="">
      <xdr:nvSpPr>
        <xdr:cNvPr id="2071807" name="Text Box 17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295275</xdr:colOff>
      <xdr:row>38</xdr:row>
      <xdr:rowOff>0</xdr:rowOff>
    </xdr:from>
    <xdr:to>
      <xdr:col>18</xdr:col>
      <xdr:colOff>400050</xdr:colOff>
      <xdr:row>39</xdr:row>
      <xdr:rowOff>28575</xdr:rowOff>
    </xdr:to>
    <xdr:sp macro="" textlink="">
      <xdr:nvSpPr>
        <xdr:cNvPr id="2071808" name="Text Box 172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295275</xdr:colOff>
      <xdr:row>38</xdr:row>
      <xdr:rowOff>0</xdr:rowOff>
    </xdr:from>
    <xdr:to>
      <xdr:col>18</xdr:col>
      <xdr:colOff>400050</xdr:colOff>
      <xdr:row>39</xdr:row>
      <xdr:rowOff>28575</xdr:rowOff>
    </xdr:to>
    <xdr:sp macro="" textlink="">
      <xdr:nvSpPr>
        <xdr:cNvPr id="2071809" name="Text Box 173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295275</xdr:colOff>
      <xdr:row>38</xdr:row>
      <xdr:rowOff>0</xdr:rowOff>
    </xdr:from>
    <xdr:to>
      <xdr:col>18</xdr:col>
      <xdr:colOff>400050</xdr:colOff>
      <xdr:row>39</xdr:row>
      <xdr:rowOff>28575</xdr:rowOff>
    </xdr:to>
    <xdr:sp macro="" textlink="">
      <xdr:nvSpPr>
        <xdr:cNvPr id="2071810" name="Text Box 174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295275</xdr:colOff>
      <xdr:row>38</xdr:row>
      <xdr:rowOff>0</xdr:rowOff>
    </xdr:from>
    <xdr:to>
      <xdr:col>18</xdr:col>
      <xdr:colOff>400050</xdr:colOff>
      <xdr:row>39</xdr:row>
      <xdr:rowOff>28575</xdr:rowOff>
    </xdr:to>
    <xdr:sp macro="" textlink="">
      <xdr:nvSpPr>
        <xdr:cNvPr id="2071811" name="Text Box 175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295275</xdr:colOff>
      <xdr:row>38</xdr:row>
      <xdr:rowOff>0</xdr:rowOff>
    </xdr:from>
    <xdr:to>
      <xdr:col>18</xdr:col>
      <xdr:colOff>400050</xdr:colOff>
      <xdr:row>39</xdr:row>
      <xdr:rowOff>28575</xdr:rowOff>
    </xdr:to>
    <xdr:sp macro="" textlink="">
      <xdr:nvSpPr>
        <xdr:cNvPr id="2071812" name="Text Box 198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295275</xdr:colOff>
      <xdr:row>38</xdr:row>
      <xdr:rowOff>0</xdr:rowOff>
    </xdr:from>
    <xdr:to>
      <xdr:col>18</xdr:col>
      <xdr:colOff>400050</xdr:colOff>
      <xdr:row>39</xdr:row>
      <xdr:rowOff>28575</xdr:rowOff>
    </xdr:to>
    <xdr:sp macro="" textlink="">
      <xdr:nvSpPr>
        <xdr:cNvPr id="2071813" name="Text Box 199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295275</xdr:colOff>
      <xdr:row>38</xdr:row>
      <xdr:rowOff>0</xdr:rowOff>
    </xdr:from>
    <xdr:to>
      <xdr:col>18</xdr:col>
      <xdr:colOff>400050</xdr:colOff>
      <xdr:row>39</xdr:row>
      <xdr:rowOff>28575</xdr:rowOff>
    </xdr:to>
    <xdr:sp macro="" textlink="">
      <xdr:nvSpPr>
        <xdr:cNvPr id="2071814" name="Text Box 200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295275</xdr:colOff>
      <xdr:row>38</xdr:row>
      <xdr:rowOff>0</xdr:rowOff>
    </xdr:from>
    <xdr:to>
      <xdr:col>18</xdr:col>
      <xdr:colOff>400050</xdr:colOff>
      <xdr:row>39</xdr:row>
      <xdr:rowOff>28575</xdr:rowOff>
    </xdr:to>
    <xdr:sp macro="" textlink="">
      <xdr:nvSpPr>
        <xdr:cNvPr id="2071815" name="Text Box 20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295275</xdr:colOff>
      <xdr:row>38</xdr:row>
      <xdr:rowOff>0</xdr:rowOff>
    </xdr:from>
    <xdr:to>
      <xdr:col>18</xdr:col>
      <xdr:colOff>400050</xdr:colOff>
      <xdr:row>39</xdr:row>
      <xdr:rowOff>28575</xdr:rowOff>
    </xdr:to>
    <xdr:sp macro="" textlink="">
      <xdr:nvSpPr>
        <xdr:cNvPr id="2071816" name="Text Box 202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295275</xdr:colOff>
      <xdr:row>38</xdr:row>
      <xdr:rowOff>0</xdr:rowOff>
    </xdr:from>
    <xdr:to>
      <xdr:col>18</xdr:col>
      <xdr:colOff>400050</xdr:colOff>
      <xdr:row>39</xdr:row>
      <xdr:rowOff>28575</xdr:rowOff>
    </xdr:to>
    <xdr:sp macro="" textlink="">
      <xdr:nvSpPr>
        <xdr:cNvPr id="2071817" name="Text Box 203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295275</xdr:colOff>
      <xdr:row>38</xdr:row>
      <xdr:rowOff>0</xdr:rowOff>
    </xdr:from>
    <xdr:to>
      <xdr:col>18</xdr:col>
      <xdr:colOff>400050</xdr:colOff>
      <xdr:row>39</xdr:row>
      <xdr:rowOff>28575</xdr:rowOff>
    </xdr:to>
    <xdr:sp macro="" textlink="">
      <xdr:nvSpPr>
        <xdr:cNvPr id="2071818" name="Text Box 204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295275</xdr:colOff>
      <xdr:row>38</xdr:row>
      <xdr:rowOff>0</xdr:rowOff>
    </xdr:from>
    <xdr:to>
      <xdr:col>18</xdr:col>
      <xdr:colOff>400050</xdr:colOff>
      <xdr:row>39</xdr:row>
      <xdr:rowOff>28575</xdr:rowOff>
    </xdr:to>
    <xdr:sp macro="" textlink="">
      <xdr:nvSpPr>
        <xdr:cNvPr id="2071819" name="Text Box 260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295275</xdr:colOff>
      <xdr:row>38</xdr:row>
      <xdr:rowOff>0</xdr:rowOff>
    </xdr:from>
    <xdr:to>
      <xdr:col>18</xdr:col>
      <xdr:colOff>400050</xdr:colOff>
      <xdr:row>39</xdr:row>
      <xdr:rowOff>28575</xdr:rowOff>
    </xdr:to>
    <xdr:sp macro="" textlink="">
      <xdr:nvSpPr>
        <xdr:cNvPr id="2071820" name="Text Box 26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295275</xdr:colOff>
      <xdr:row>38</xdr:row>
      <xdr:rowOff>0</xdr:rowOff>
    </xdr:from>
    <xdr:to>
      <xdr:col>18</xdr:col>
      <xdr:colOff>400050</xdr:colOff>
      <xdr:row>39</xdr:row>
      <xdr:rowOff>28575</xdr:rowOff>
    </xdr:to>
    <xdr:sp macro="" textlink="">
      <xdr:nvSpPr>
        <xdr:cNvPr id="2071821" name="Text Box 97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295275</xdr:colOff>
      <xdr:row>38</xdr:row>
      <xdr:rowOff>0</xdr:rowOff>
    </xdr:from>
    <xdr:to>
      <xdr:col>18</xdr:col>
      <xdr:colOff>400050</xdr:colOff>
      <xdr:row>39</xdr:row>
      <xdr:rowOff>28575</xdr:rowOff>
    </xdr:to>
    <xdr:sp macro="" textlink="">
      <xdr:nvSpPr>
        <xdr:cNvPr id="2071822" name="Text Box 972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295275</xdr:colOff>
      <xdr:row>38</xdr:row>
      <xdr:rowOff>0</xdr:rowOff>
    </xdr:from>
    <xdr:to>
      <xdr:col>18</xdr:col>
      <xdr:colOff>400050</xdr:colOff>
      <xdr:row>39</xdr:row>
      <xdr:rowOff>28575</xdr:rowOff>
    </xdr:to>
    <xdr:sp macro="" textlink="">
      <xdr:nvSpPr>
        <xdr:cNvPr id="2071823" name="Text Box 973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295275</xdr:colOff>
      <xdr:row>38</xdr:row>
      <xdr:rowOff>0</xdr:rowOff>
    </xdr:from>
    <xdr:to>
      <xdr:col>18</xdr:col>
      <xdr:colOff>400050</xdr:colOff>
      <xdr:row>39</xdr:row>
      <xdr:rowOff>28575</xdr:rowOff>
    </xdr:to>
    <xdr:sp macro="" textlink="">
      <xdr:nvSpPr>
        <xdr:cNvPr id="2071824" name="Text Box 974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352425</xdr:colOff>
      <xdr:row>38</xdr:row>
      <xdr:rowOff>0</xdr:rowOff>
    </xdr:from>
    <xdr:to>
      <xdr:col>19</xdr:col>
      <xdr:colOff>361950</xdr:colOff>
      <xdr:row>39</xdr:row>
      <xdr:rowOff>28575</xdr:rowOff>
    </xdr:to>
    <xdr:sp macro="" textlink="">
      <xdr:nvSpPr>
        <xdr:cNvPr id="2071825" name="Text Box 168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352425</xdr:colOff>
      <xdr:row>38</xdr:row>
      <xdr:rowOff>0</xdr:rowOff>
    </xdr:from>
    <xdr:to>
      <xdr:col>19</xdr:col>
      <xdr:colOff>361950</xdr:colOff>
      <xdr:row>39</xdr:row>
      <xdr:rowOff>28575</xdr:rowOff>
    </xdr:to>
    <xdr:sp macro="" textlink="">
      <xdr:nvSpPr>
        <xdr:cNvPr id="2071826" name="Text Box 169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352425</xdr:colOff>
      <xdr:row>38</xdr:row>
      <xdr:rowOff>0</xdr:rowOff>
    </xdr:from>
    <xdr:to>
      <xdr:col>19</xdr:col>
      <xdr:colOff>361950</xdr:colOff>
      <xdr:row>39</xdr:row>
      <xdr:rowOff>28575</xdr:rowOff>
    </xdr:to>
    <xdr:sp macro="" textlink="">
      <xdr:nvSpPr>
        <xdr:cNvPr id="2071827" name="Text Box 170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352425</xdr:colOff>
      <xdr:row>38</xdr:row>
      <xdr:rowOff>0</xdr:rowOff>
    </xdr:from>
    <xdr:to>
      <xdr:col>19</xdr:col>
      <xdr:colOff>361950</xdr:colOff>
      <xdr:row>39</xdr:row>
      <xdr:rowOff>28575</xdr:rowOff>
    </xdr:to>
    <xdr:sp macro="" textlink="">
      <xdr:nvSpPr>
        <xdr:cNvPr id="2071828" name="Text Box 17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352425</xdr:colOff>
      <xdr:row>38</xdr:row>
      <xdr:rowOff>0</xdr:rowOff>
    </xdr:from>
    <xdr:to>
      <xdr:col>19</xdr:col>
      <xdr:colOff>361950</xdr:colOff>
      <xdr:row>39</xdr:row>
      <xdr:rowOff>28575</xdr:rowOff>
    </xdr:to>
    <xdr:sp macro="" textlink="">
      <xdr:nvSpPr>
        <xdr:cNvPr id="2071829" name="Text Box 172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352425</xdr:colOff>
      <xdr:row>38</xdr:row>
      <xdr:rowOff>0</xdr:rowOff>
    </xdr:from>
    <xdr:to>
      <xdr:col>19</xdr:col>
      <xdr:colOff>361950</xdr:colOff>
      <xdr:row>39</xdr:row>
      <xdr:rowOff>28575</xdr:rowOff>
    </xdr:to>
    <xdr:sp macro="" textlink="">
      <xdr:nvSpPr>
        <xdr:cNvPr id="2071830" name="Text Box 173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352425</xdr:colOff>
      <xdr:row>38</xdr:row>
      <xdr:rowOff>0</xdr:rowOff>
    </xdr:from>
    <xdr:to>
      <xdr:col>19</xdr:col>
      <xdr:colOff>361950</xdr:colOff>
      <xdr:row>39</xdr:row>
      <xdr:rowOff>28575</xdr:rowOff>
    </xdr:to>
    <xdr:sp macro="" textlink="">
      <xdr:nvSpPr>
        <xdr:cNvPr id="2071831" name="Text Box 174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352425</xdr:colOff>
      <xdr:row>38</xdr:row>
      <xdr:rowOff>0</xdr:rowOff>
    </xdr:from>
    <xdr:to>
      <xdr:col>19</xdr:col>
      <xdr:colOff>361950</xdr:colOff>
      <xdr:row>39</xdr:row>
      <xdr:rowOff>28575</xdr:rowOff>
    </xdr:to>
    <xdr:sp macro="" textlink="">
      <xdr:nvSpPr>
        <xdr:cNvPr id="2071832" name="Text Box 175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352425</xdr:colOff>
      <xdr:row>38</xdr:row>
      <xdr:rowOff>0</xdr:rowOff>
    </xdr:from>
    <xdr:to>
      <xdr:col>19</xdr:col>
      <xdr:colOff>361950</xdr:colOff>
      <xdr:row>39</xdr:row>
      <xdr:rowOff>28575</xdr:rowOff>
    </xdr:to>
    <xdr:sp macro="" textlink="">
      <xdr:nvSpPr>
        <xdr:cNvPr id="2071833" name="Text Box 198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352425</xdr:colOff>
      <xdr:row>38</xdr:row>
      <xdr:rowOff>0</xdr:rowOff>
    </xdr:from>
    <xdr:to>
      <xdr:col>19</xdr:col>
      <xdr:colOff>361950</xdr:colOff>
      <xdr:row>39</xdr:row>
      <xdr:rowOff>28575</xdr:rowOff>
    </xdr:to>
    <xdr:sp macro="" textlink="">
      <xdr:nvSpPr>
        <xdr:cNvPr id="2071834" name="Text Box 199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352425</xdr:colOff>
      <xdr:row>38</xdr:row>
      <xdr:rowOff>0</xdr:rowOff>
    </xdr:from>
    <xdr:to>
      <xdr:col>19</xdr:col>
      <xdr:colOff>361950</xdr:colOff>
      <xdr:row>39</xdr:row>
      <xdr:rowOff>28575</xdr:rowOff>
    </xdr:to>
    <xdr:sp macro="" textlink="">
      <xdr:nvSpPr>
        <xdr:cNvPr id="2071835" name="Text Box 200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352425</xdr:colOff>
      <xdr:row>38</xdr:row>
      <xdr:rowOff>0</xdr:rowOff>
    </xdr:from>
    <xdr:to>
      <xdr:col>19</xdr:col>
      <xdr:colOff>361950</xdr:colOff>
      <xdr:row>39</xdr:row>
      <xdr:rowOff>28575</xdr:rowOff>
    </xdr:to>
    <xdr:sp macro="" textlink="">
      <xdr:nvSpPr>
        <xdr:cNvPr id="2071836" name="Text Box 20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352425</xdr:colOff>
      <xdr:row>38</xdr:row>
      <xdr:rowOff>0</xdr:rowOff>
    </xdr:from>
    <xdr:to>
      <xdr:col>19</xdr:col>
      <xdr:colOff>361950</xdr:colOff>
      <xdr:row>39</xdr:row>
      <xdr:rowOff>28575</xdr:rowOff>
    </xdr:to>
    <xdr:sp macro="" textlink="">
      <xdr:nvSpPr>
        <xdr:cNvPr id="2071837" name="Text Box 202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352425</xdr:colOff>
      <xdr:row>38</xdr:row>
      <xdr:rowOff>0</xdr:rowOff>
    </xdr:from>
    <xdr:to>
      <xdr:col>19</xdr:col>
      <xdr:colOff>361950</xdr:colOff>
      <xdr:row>39</xdr:row>
      <xdr:rowOff>28575</xdr:rowOff>
    </xdr:to>
    <xdr:sp macro="" textlink="">
      <xdr:nvSpPr>
        <xdr:cNvPr id="2071838" name="Text Box 203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352425</xdr:colOff>
      <xdr:row>38</xdr:row>
      <xdr:rowOff>0</xdr:rowOff>
    </xdr:from>
    <xdr:to>
      <xdr:col>19</xdr:col>
      <xdr:colOff>361950</xdr:colOff>
      <xdr:row>39</xdr:row>
      <xdr:rowOff>28575</xdr:rowOff>
    </xdr:to>
    <xdr:sp macro="" textlink="">
      <xdr:nvSpPr>
        <xdr:cNvPr id="2071839" name="Text Box 204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352425</xdr:colOff>
      <xdr:row>38</xdr:row>
      <xdr:rowOff>0</xdr:rowOff>
    </xdr:from>
    <xdr:to>
      <xdr:col>19</xdr:col>
      <xdr:colOff>361950</xdr:colOff>
      <xdr:row>39</xdr:row>
      <xdr:rowOff>28575</xdr:rowOff>
    </xdr:to>
    <xdr:sp macro="" textlink="">
      <xdr:nvSpPr>
        <xdr:cNvPr id="2071840" name="Text Box 260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352425</xdr:colOff>
      <xdr:row>38</xdr:row>
      <xdr:rowOff>0</xdr:rowOff>
    </xdr:from>
    <xdr:to>
      <xdr:col>19</xdr:col>
      <xdr:colOff>361950</xdr:colOff>
      <xdr:row>39</xdr:row>
      <xdr:rowOff>28575</xdr:rowOff>
    </xdr:to>
    <xdr:sp macro="" textlink="">
      <xdr:nvSpPr>
        <xdr:cNvPr id="2071841" name="Text Box 26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352425</xdr:colOff>
      <xdr:row>38</xdr:row>
      <xdr:rowOff>0</xdr:rowOff>
    </xdr:from>
    <xdr:to>
      <xdr:col>19</xdr:col>
      <xdr:colOff>361950</xdr:colOff>
      <xdr:row>39</xdr:row>
      <xdr:rowOff>28575</xdr:rowOff>
    </xdr:to>
    <xdr:sp macro="" textlink="">
      <xdr:nvSpPr>
        <xdr:cNvPr id="2071842" name="Text Box 97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352425</xdr:colOff>
      <xdr:row>38</xdr:row>
      <xdr:rowOff>0</xdr:rowOff>
    </xdr:from>
    <xdr:to>
      <xdr:col>19</xdr:col>
      <xdr:colOff>361950</xdr:colOff>
      <xdr:row>39</xdr:row>
      <xdr:rowOff>28575</xdr:rowOff>
    </xdr:to>
    <xdr:sp macro="" textlink="">
      <xdr:nvSpPr>
        <xdr:cNvPr id="2071843" name="Text Box 972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352425</xdr:colOff>
      <xdr:row>38</xdr:row>
      <xdr:rowOff>0</xdr:rowOff>
    </xdr:from>
    <xdr:to>
      <xdr:col>19</xdr:col>
      <xdr:colOff>361950</xdr:colOff>
      <xdr:row>39</xdr:row>
      <xdr:rowOff>28575</xdr:rowOff>
    </xdr:to>
    <xdr:sp macro="" textlink="">
      <xdr:nvSpPr>
        <xdr:cNvPr id="2071844" name="Text Box 973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352425</xdr:colOff>
      <xdr:row>38</xdr:row>
      <xdr:rowOff>0</xdr:rowOff>
    </xdr:from>
    <xdr:to>
      <xdr:col>19</xdr:col>
      <xdr:colOff>361950</xdr:colOff>
      <xdr:row>39</xdr:row>
      <xdr:rowOff>28575</xdr:rowOff>
    </xdr:to>
    <xdr:sp macro="" textlink="">
      <xdr:nvSpPr>
        <xdr:cNvPr id="2071845" name="Text Box 974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295275</xdr:colOff>
      <xdr:row>38</xdr:row>
      <xdr:rowOff>0</xdr:rowOff>
    </xdr:from>
    <xdr:to>
      <xdr:col>19</xdr:col>
      <xdr:colOff>400050</xdr:colOff>
      <xdr:row>39</xdr:row>
      <xdr:rowOff>28575</xdr:rowOff>
    </xdr:to>
    <xdr:sp macro="" textlink="">
      <xdr:nvSpPr>
        <xdr:cNvPr id="2071846" name="Text Box 168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295275</xdr:colOff>
      <xdr:row>38</xdr:row>
      <xdr:rowOff>0</xdr:rowOff>
    </xdr:from>
    <xdr:to>
      <xdr:col>19</xdr:col>
      <xdr:colOff>400050</xdr:colOff>
      <xdr:row>39</xdr:row>
      <xdr:rowOff>28575</xdr:rowOff>
    </xdr:to>
    <xdr:sp macro="" textlink="">
      <xdr:nvSpPr>
        <xdr:cNvPr id="2071847" name="Text Box 169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295275</xdr:colOff>
      <xdr:row>38</xdr:row>
      <xdr:rowOff>0</xdr:rowOff>
    </xdr:from>
    <xdr:to>
      <xdr:col>19</xdr:col>
      <xdr:colOff>400050</xdr:colOff>
      <xdr:row>39</xdr:row>
      <xdr:rowOff>28575</xdr:rowOff>
    </xdr:to>
    <xdr:sp macro="" textlink="">
      <xdr:nvSpPr>
        <xdr:cNvPr id="2071848" name="Text Box 170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295275</xdr:colOff>
      <xdr:row>38</xdr:row>
      <xdr:rowOff>0</xdr:rowOff>
    </xdr:from>
    <xdr:to>
      <xdr:col>19</xdr:col>
      <xdr:colOff>400050</xdr:colOff>
      <xdr:row>39</xdr:row>
      <xdr:rowOff>28575</xdr:rowOff>
    </xdr:to>
    <xdr:sp macro="" textlink="">
      <xdr:nvSpPr>
        <xdr:cNvPr id="2071849" name="Text Box 17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295275</xdr:colOff>
      <xdr:row>38</xdr:row>
      <xdr:rowOff>0</xdr:rowOff>
    </xdr:from>
    <xdr:to>
      <xdr:col>19</xdr:col>
      <xdr:colOff>400050</xdr:colOff>
      <xdr:row>39</xdr:row>
      <xdr:rowOff>28575</xdr:rowOff>
    </xdr:to>
    <xdr:sp macro="" textlink="">
      <xdr:nvSpPr>
        <xdr:cNvPr id="2071850" name="Text Box 172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295275</xdr:colOff>
      <xdr:row>38</xdr:row>
      <xdr:rowOff>0</xdr:rowOff>
    </xdr:from>
    <xdr:to>
      <xdr:col>19</xdr:col>
      <xdr:colOff>400050</xdr:colOff>
      <xdr:row>39</xdr:row>
      <xdr:rowOff>28575</xdr:rowOff>
    </xdr:to>
    <xdr:sp macro="" textlink="">
      <xdr:nvSpPr>
        <xdr:cNvPr id="2071851" name="Text Box 173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295275</xdr:colOff>
      <xdr:row>38</xdr:row>
      <xdr:rowOff>0</xdr:rowOff>
    </xdr:from>
    <xdr:to>
      <xdr:col>19</xdr:col>
      <xdr:colOff>400050</xdr:colOff>
      <xdr:row>39</xdr:row>
      <xdr:rowOff>28575</xdr:rowOff>
    </xdr:to>
    <xdr:sp macro="" textlink="">
      <xdr:nvSpPr>
        <xdr:cNvPr id="2071852" name="Text Box 174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295275</xdr:colOff>
      <xdr:row>38</xdr:row>
      <xdr:rowOff>0</xdr:rowOff>
    </xdr:from>
    <xdr:to>
      <xdr:col>19</xdr:col>
      <xdr:colOff>400050</xdr:colOff>
      <xdr:row>39</xdr:row>
      <xdr:rowOff>28575</xdr:rowOff>
    </xdr:to>
    <xdr:sp macro="" textlink="">
      <xdr:nvSpPr>
        <xdr:cNvPr id="2071853" name="Text Box 175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295275</xdr:colOff>
      <xdr:row>38</xdr:row>
      <xdr:rowOff>0</xdr:rowOff>
    </xdr:from>
    <xdr:to>
      <xdr:col>19</xdr:col>
      <xdr:colOff>400050</xdr:colOff>
      <xdr:row>39</xdr:row>
      <xdr:rowOff>28575</xdr:rowOff>
    </xdr:to>
    <xdr:sp macro="" textlink="">
      <xdr:nvSpPr>
        <xdr:cNvPr id="2071854" name="Text Box 198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295275</xdr:colOff>
      <xdr:row>38</xdr:row>
      <xdr:rowOff>0</xdr:rowOff>
    </xdr:from>
    <xdr:to>
      <xdr:col>19</xdr:col>
      <xdr:colOff>400050</xdr:colOff>
      <xdr:row>39</xdr:row>
      <xdr:rowOff>28575</xdr:rowOff>
    </xdr:to>
    <xdr:sp macro="" textlink="">
      <xdr:nvSpPr>
        <xdr:cNvPr id="2071855" name="Text Box 199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295275</xdr:colOff>
      <xdr:row>38</xdr:row>
      <xdr:rowOff>0</xdr:rowOff>
    </xdr:from>
    <xdr:to>
      <xdr:col>19</xdr:col>
      <xdr:colOff>400050</xdr:colOff>
      <xdr:row>39</xdr:row>
      <xdr:rowOff>28575</xdr:rowOff>
    </xdr:to>
    <xdr:sp macro="" textlink="">
      <xdr:nvSpPr>
        <xdr:cNvPr id="2071856" name="Text Box 200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295275</xdr:colOff>
      <xdr:row>38</xdr:row>
      <xdr:rowOff>0</xdr:rowOff>
    </xdr:from>
    <xdr:to>
      <xdr:col>19</xdr:col>
      <xdr:colOff>400050</xdr:colOff>
      <xdr:row>39</xdr:row>
      <xdr:rowOff>28575</xdr:rowOff>
    </xdr:to>
    <xdr:sp macro="" textlink="">
      <xdr:nvSpPr>
        <xdr:cNvPr id="2071857" name="Text Box 20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295275</xdr:colOff>
      <xdr:row>38</xdr:row>
      <xdr:rowOff>0</xdr:rowOff>
    </xdr:from>
    <xdr:to>
      <xdr:col>19</xdr:col>
      <xdr:colOff>400050</xdr:colOff>
      <xdr:row>39</xdr:row>
      <xdr:rowOff>28575</xdr:rowOff>
    </xdr:to>
    <xdr:sp macro="" textlink="">
      <xdr:nvSpPr>
        <xdr:cNvPr id="2071858" name="Text Box 202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295275</xdr:colOff>
      <xdr:row>38</xdr:row>
      <xdr:rowOff>0</xdr:rowOff>
    </xdr:from>
    <xdr:to>
      <xdr:col>19</xdr:col>
      <xdr:colOff>400050</xdr:colOff>
      <xdr:row>39</xdr:row>
      <xdr:rowOff>28575</xdr:rowOff>
    </xdr:to>
    <xdr:sp macro="" textlink="">
      <xdr:nvSpPr>
        <xdr:cNvPr id="2071859" name="Text Box 203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295275</xdr:colOff>
      <xdr:row>38</xdr:row>
      <xdr:rowOff>0</xdr:rowOff>
    </xdr:from>
    <xdr:to>
      <xdr:col>19</xdr:col>
      <xdr:colOff>400050</xdr:colOff>
      <xdr:row>39</xdr:row>
      <xdr:rowOff>28575</xdr:rowOff>
    </xdr:to>
    <xdr:sp macro="" textlink="">
      <xdr:nvSpPr>
        <xdr:cNvPr id="2071860" name="Text Box 204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295275</xdr:colOff>
      <xdr:row>38</xdr:row>
      <xdr:rowOff>0</xdr:rowOff>
    </xdr:from>
    <xdr:to>
      <xdr:col>19</xdr:col>
      <xdr:colOff>400050</xdr:colOff>
      <xdr:row>39</xdr:row>
      <xdr:rowOff>28575</xdr:rowOff>
    </xdr:to>
    <xdr:sp macro="" textlink="">
      <xdr:nvSpPr>
        <xdr:cNvPr id="2071861" name="Text Box 260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295275</xdr:colOff>
      <xdr:row>38</xdr:row>
      <xdr:rowOff>0</xdr:rowOff>
    </xdr:from>
    <xdr:to>
      <xdr:col>19</xdr:col>
      <xdr:colOff>400050</xdr:colOff>
      <xdr:row>39</xdr:row>
      <xdr:rowOff>28575</xdr:rowOff>
    </xdr:to>
    <xdr:sp macro="" textlink="">
      <xdr:nvSpPr>
        <xdr:cNvPr id="2071862" name="Text Box 26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295275</xdr:colOff>
      <xdr:row>38</xdr:row>
      <xdr:rowOff>0</xdr:rowOff>
    </xdr:from>
    <xdr:to>
      <xdr:col>19</xdr:col>
      <xdr:colOff>400050</xdr:colOff>
      <xdr:row>39</xdr:row>
      <xdr:rowOff>28575</xdr:rowOff>
    </xdr:to>
    <xdr:sp macro="" textlink="">
      <xdr:nvSpPr>
        <xdr:cNvPr id="2071863" name="Text Box 97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295275</xdr:colOff>
      <xdr:row>38</xdr:row>
      <xdr:rowOff>0</xdr:rowOff>
    </xdr:from>
    <xdr:to>
      <xdr:col>19</xdr:col>
      <xdr:colOff>400050</xdr:colOff>
      <xdr:row>39</xdr:row>
      <xdr:rowOff>28575</xdr:rowOff>
    </xdr:to>
    <xdr:sp macro="" textlink="">
      <xdr:nvSpPr>
        <xdr:cNvPr id="2071864" name="Text Box 972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295275</xdr:colOff>
      <xdr:row>38</xdr:row>
      <xdr:rowOff>0</xdr:rowOff>
    </xdr:from>
    <xdr:to>
      <xdr:col>19</xdr:col>
      <xdr:colOff>400050</xdr:colOff>
      <xdr:row>39</xdr:row>
      <xdr:rowOff>28575</xdr:rowOff>
    </xdr:to>
    <xdr:sp macro="" textlink="">
      <xdr:nvSpPr>
        <xdr:cNvPr id="2071865" name="Text Box 973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295275</xdr:colOff>
      <xdr:row>38</xdr:row>
      <xdr:rowOff>0</xdr:rowOff>
    </xdr:from>
    <xdr:to>
      <xdr:col>19</xdr:col>
      <xdr:colOff>400050</xdr:colOff>
      <xdr:row>39</xdr:row>
      <xdr:rowOff>28575</xdr:rowOff>
    </xdr:to>
    <xdr:sp macro="" textlink="">
      <xdr:nvSpPr>
        <xdr:cNvPr id="2071866" name="Text Box 974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352425</xdr:colOff>
      <xdr:row>38</xdr:row>
      <xdr:rowOff>0</xdr:rowOff>
    </xdr:from>
    <xdr:to>
      <xdr:col>20</xdr:col>
      <xdr:colOff>361950</xdr:colOff>
      <xdr:row>39</xdr:row>
      <xdr:rowOff>28575</xdr:rowOff>
    </xdr:to>
    <xdr:sp macro="" textlink="">
      <xdr:nvSpPr>
        <xdr:cNvPr id="2071867" name="Text Box 168"/>
        <xdr:cNvSpPr txBox="1">
          <a:spLocks noChangeArrowheads="1"/>
        </xdr:cNvSpPr>
      </xdr:nvSpPr>
      <xdr:spPr bwMode="auto">
        <a:xfrm>
          <a:off x="3619500" y="5505450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352425</xdr:colOff>
      <xdr:row>38</xdr:row>
      <xdr:rowOff>0</xdr:rowOff>
    </xdr:from>
    <xdr:to>
      <xdr:col>20</xdr:col>
      <xdr:colOff>361950</xdr:colOff>
      <xdr:row>39</xdr:row>
      <xdr:rowOff>28575</xdr:rowOff>
    </xdr:to>
    <xdr:sp macro="" textlink="">
      <xdr:nvSpPr>
        <xdr:cNvPr id="2071868" name="Text Box 169"/>
        <xdr:cNvSpPr txBox="1">
          <a:spLocks noChangeArrowheads="1"/>
        </xdr:cNvSpPr>
      </xdr:nvSpPr>
      <xdr:spPr bwMode="auto">
        <a:xfrm>
          <a:off x="3619500" y="5505450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352425</xdr:colOff>
      <xdr:row>38</xdr:row>
      <xdr:rowOff>0</xdr:rowOff>
    </xdr:from>
    <xdr:to>
      <xdr:col>20</xdr:col>
      <xdr:colOff>361950</xdr:colOff>
      <xdr:row>39</xdr:row>
      <xdr:rowOff>28575</xdr:rowOff>
    </xdr:to>
    <xdr:sp macro="" textlink="">
      <xdr:nvSpPr>
        <xdr:cNvPr id="2071869" name="Text Box 170"/>
        <xdr:cNvSpPr txBox="1">
          <a:spLocks noChangeArrowheads="1"/>
        </xdr:cNvSpPr>
      </xdr:nvSpPr>
      <xdr:spPr bwMode="auto">
        <a:xfrm>
          <a:off x="3619500" y="5505450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352425</xdr:colOff>
      <xdr:row>38</xdr:row>
      <xdr:rowOff>0</xdr:rowOff>
    </xdr:from>
    <xdr:to>
      <xdr:col>20</xdr:col>
      <xdr:colOff>361950</xdr:colOff>
      <xdr:row>39</xdr:row>
      <xdr:rowOff>28575</xdr:rowOff>
    </xdr:to>
    <xdr:sp macro="" textlink="">
      <xdr:nvSpPr>
        <xdr:cNvPr id="2071870" name="Text Box 171"/>
        <xdr:cNvSpPr txBox="1">
          <a:spLocks noChangeArrowheads="1"/>
        </xdr:cNvSpPr>
      </xdr:nvSpPr>
      <xdr:spPr bwMode="auto">
        <a:xfrm>
          <a:off x="3619500" y="5505450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352425</xdr:colOff>
      <xdr:row>38</xdr:row>
      <xdr:rowOff>0</xdr:rowOff>
    </xdr:from>
    <xdr:to>
      <xdr:col>20</xdr:col>
      <xdr:colOff>361950</xdr:colOff>
      <xdr:row>39</xdr:row>
      <xdr:rowOff>28575</xdr:rowOff>
    </xdr:to>
    <xdr:sp macro="" textlink="">
      <xdr:nvSpPr>
        <xdr:cNvPr id="2071871" name="Text Box 172"/>
        <xdr:cNvSpPr txBox="1">
          <a:spLocks noChangeArrowheads="1"/>
        </xdr:cNvSpPr>
      </xdr:nvSpPr>
      <xdr:spPr bwMode="auto">
        <a:xfrm>
          <a:off x="3619500" y="5505450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352425</xdr:colOff>
      <xdr:row>38</xdr:row>
      <xdr:rowOff>0</xdr:rowOff>
    </xdr:from>
    <xdr:to>
      <xdr:col>20</xdr:col>
      <xdr:colOff>361950</xdr:colOff>
      <xdr:row>39</xdr:row>
      <xdr:rowOff>28575</xdr:rowOff>
    </xdr:to>
    <xdr:sp macro="" textlink="">
      <xdr:nvSpPr>
        <xdr:cNvPr id="2071872" name="Text Box 173"/>
        <xdr:cNvSpPr txBox="1">
          <a:spLocks noChangeArrowheads="1"/>
        </xdr:cNvSpPr>
      </xdr:nvSpPr>
      <xdr:spPr bwMode="auto">
        <a:xfrm>
          <a:off x="3619500" y="5505450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352425</xdr:colOff>
      <xdr:row>38</xdr:row>
      <xdr:rowOff>0</xdr:rowOff>
    </xdr:from>
    <xdr:to>
      <xdr:col>20</xdr:col>
      <xdr:colOff>361950</xdr:colOff>
      <xdr:row>39</xdr:row>
      <xdr:rowOff>28575</xdr:rowOff>
    </xdr:to>
    <xdr:sp macro="" textlink="">
      <xdr:nvSpPr>
        <xdr:cNvPr id="2071873" name="Text Box 174"/>
        <xdr:cNvSpPr txBox="1">
          <a:spLocks noChangeArrowheads="1"/>
        </xdr:cNvSpPr>
      </xdr:nvSpPr>
      <xdr:spPr bwMode="auto">
        <a:xfrm>
          <a:off x="3619500" y="5505450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352425</xdr:colOff>
      <xdr:row>38</xdr:row>
      <xdr:rowOff>0</xdr:rowOff>
    </xdr:from>
    <xdr:to>
      <xdr:col>20</xdr:col>
      <xdr:colOff>361950</xdr:colOff>
      <xdr:row>39</xdr:row>
      <xdr:rowOff>28575</xdr:rowOff>
    </xdr:to>
    <xdr:sp macro="" textlink="">
      <xdr:nvSpPr>
        <xdr:cNvPr id="2071874" name="Text Box 175"/>
        <xdr:cNvSpPr txBox="1">
          <a:spLocks noChangeArrowheads="1"/>
        </xdr:cNvSpPr>
      </xdr:nvSpPr>
      <xdr:spPr bwMode="auto">
        <a:xfrm>
          <a:off x="3619500" y="5505450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352425</xdr:colOff>
      <xdr:row>38</xdr:row>
      <xdr:rowOff>0</xdr:rowOff>
    </xdr:from>
    <xdr:to>
      <xdr:col>20</xdr:col>
      <xdr:colOff>361950</xdr:colOff>
      <xdr:row>39</xdr:row>
      <xdr:rowOff>28575</xdr:rowOff>
    </xdr:to>
    <xdr:sp macro="" textlink="">
      <xdr:nvSpPr>
        <xdr:cNvPr id="2071875" name="Text Box 198"/>
        <xdr:cNvSpPr txBox="1">
          <a:spLocks noChangeArrowheads="1"/>
        </xdr:cNvSpPr>
      </xdr:nvSpPr>
      <xdr:spPr bwMode="auto">
        <a:xfrm>
          <a:off x="3619500" y="5505450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352425</xdr:colOff>
      <xdr:row>38</xdr:row>
      <xdr:rowOff>0</xdr:rowOff>
    </xdr:from>
    <xdr:to>
      <xdr:col>20</xdr:col>
      <xdr:colOff>361950</xdr:colOff>
      <xdr:row>39</xdr:row>
      <xdr:rowOff>28575</xdr:rowOff>
    </xdr:to>
    <xdr:sp macro="" textlink="">
      <xdr:nvSpPr>
        <xdr:cNvPr id="2071876" name="Text Box 199"/>
        <xdr:cNvSpPr txBox="1">
          <a:spLocks noChangeArrowheads="1"/>
        </xdr:cNvSpPr>
      </xdr:nvSpPr>
      <xdr:spPr bwMode="auto">
        <a:xfrm>
          <a:off x="3619500" y="5505450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352425</xdr:colOff>
      <xdr:row>38</xdr:row>
      <xdr:rowOff>0</xdr:rowOff>
    </xdr:from>
    <xdr:to>
      <xdr:col>20</xdr:col>
      <xdr:colOff>361950</xdr:colOff>
      <xdr:row>39</xdr:row>
      <xdr:rowOff>28575</xdr:rowOff>
    </xdr:to>
    <xdr:sp macro="" textlink="">
      <xdr:nvSpPr>
        <xdr:cNvPr id="2071877" name="Text Box 200"/>
        <xdr:cNvSpPr txBox="1">
          <a:spLocks noChangeArrowheads="1"/>
        </xdr:cNvSpPr>
      </xdr:nvSpPr>
      <xdr:spPr bwMode="auto">
        <a:xfrm>
          <a:off x="3619500" y="5505450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352425</xdr:colOff>
      <xdr:row>38</xdr:row>
      <xdr:rowOff>0</xdr:rowOff>
    </xdr:from>
    <xdr:to>
      <xdr:col>20</xdr:col>
      <xdr:colOff>361950</xdr:colOff>
      <xdr:row>39</xdr:row>
      <xdr:rowOff>28575</xdr:rowOff>
    </xdr:to>
    <xdr:sp macro="" textlink="">
      <xdr:nvSpPr>
        <xdr:cNvPr id="2071878" name="Text Box 201"/>
        <xdr:cNvSpPr txBox="1">
          <a:spLocks noChangeArrowheads="1"/>
        </xdr:cNvSpPr>
      </xdr:nvSpPr>
      <xdr:spPr bwMode="auto">
        <a:xfrm>
          <a:off x="3619500" y="5505450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352425</xdr:colOff>
      <xdr:row>38</xdr:row>
      <xdr:rowOff>0</xdr:rowOff>
    </xdr:from>
    <xdr:to>
      <xdr:col>20</xdr:col>
      <xdr:colOff>361950</xdr:colOff>
      <xdr:row>39</xdr:row>
      <xdr:rowOff>28575</xdr:rowOff>
    </xdr:to>
    <xdr:sp macro="" textlink="">
      <xdr:nvSpPr>
        <xdr:cNvPr id="2071879" name="Text Box 202"/>
        <xdr:cNvSpPr txBox="1">
          <a:spLocks noChangeArrowheads="1"/>
        </xdr:cNvSpPr>
      </xdr:nvSpPr>
      <xdr:spPr bwMode="auto">
        <a:xfrm>
          <a:off x="3619500" y="5505450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352425</xdr:colOff>
      <xdr:row>38</xdr:row>
      <xdr:rowOff>0</xdr:rowOff>
    </xdr:from>
    <xdr:to>
      <xdr:col>20</xdr:col>
      <xdr:colOff>361950</xdr:colOff>
      <xdr:row>39</xdr:row>
      <xdr:rowOff>28575</xdr:rowOff>
    </xdr:to>
    <xdr:sp macro="" textlink="">
      <xdr:nvSpPr>
        <xdr:cNvPr id="2071880" name="Text Box 203"/>
        <xdr:cNvSpPr txBox="1">
          <a:spLocks noChangeArrowheads="1"/>
        </xdr:cNvSpPr>
      </xdr:nvSpPr>
      <xdr:spPr bwMode="auto">
        <a:xfrm>
          <a:off x="3619500" y="5505450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352425</xdr:colOff>
      <xdr:row>38</xdr:row>
      <xdr:rowOff>0</xdr:rowOff>
    </xdr:from>
    <xdr:to>
      <xdr:col>20</xdr:col>
      <xdr:colOff>361950</xdr:colOff>
      <xdr:row>39</xdr:row>
      <xdr:rowOff>28575</xdr:rowOff>
    </xdr:to>
    <xdr:sp macro="" textlink="">
      <xdr:nvSpPr>
        <xdr:cNvPr id="2071881" name="Text Box 204"/>
        <xdr:cNvSpPr txBox="1">
          <a:spLocks noChangeArrowheads="1"/>
        </xdr:cNvSpPr>
      </xdr:nvSpPr>
      <xdr:spPr bwMode="auto">
        <a:xfrm>
          <a:off x="3619500" y="5505450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352425</xdr:colOff>
      <xdr:row>38</xdr:row>
      <xdr:rowOff>0</xdr:rowOff>
    </xdr:from>
    <xdr:to>
      <xdr:col>20</xdr:col>
      <xdr:colOff>361950</xdr:colOff>
      <xdr:row>39</xdr:row>
      <xdr:rowOff>28575</xdr:rowOff>
    </xdr:to>
    <xdr:sp macro="" textlink="">
      <xdr:nvSpPr>
        <xdr:cNvPr id="2071882" name="Text Box 260"/>
        <xdr:cNvSpPr txBox="1">
          <a:spLocks noChangeArrowheads="1"/>
        </xdr:cNvSpPr>
      </xdr:nvSpPr>
      <xdr:spPr bwMode="auto">
        <a:xfrm>
          <a:off x="3619500" y="5505450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352425</xdr:colOff>
      <xdr:row>38</xdr:row>
      <xdr:rowOff>0</xdr:rowOff>
    </xdr:from>
    <xdr:to>
      <xdr:col>20</xdr:col>
      <xdr:colOff>361950</xdr:colOff>
      <xdr:row>39</xdr:row>
      <xdr:rowOff>28575</xdr:rowOff>
    </xdr:to>
    <xdr:sp macro="" textlink="">
      <xdr:nvSpPr>
        <xdr:cNvPr id="2071883" name="Text Box 261"/>
        <xdr:cNvSpPr txBox="1">
          <a:spLocks noChangeArrowheads="1"/>
        </xdr:cNvSpPr>
      </xdr:nvSpPr>
      <xdr:spPr bwMode="auto">
        <a:xfrm>
          <a:off x="3619500" y="5505450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352425</xdr:colOff>
      <xdr:row>38</xdr:row>
      <xdr:rowOff>0</xdr:rowOff>
    </xdr:from>
    <xdr:to>
      <xdr:col>20</xdr:col>
      <xdr:colOff>361950</xdr:colOff>
      <xdr:row>39</xdr:row>
      <xdr:rowOff>28575</xdr:rowOff>
    </xdr:to>
    <xdr:sp macro="" textlink="">
      <xdr:nvSpPr>
        <xdr:cNvPr id="2071884" name="Text Box 971"/>
        <xdr:cNvSpPr txBox="1">
          <a:spLocks noChangeArrowheads="1"/>
        </xdr:cNvSpPr>
      </xdr:nvSpPr>
      <xdr:spPr bwMode="auto">
        <a:xfrm>
          <a:off x="3619500" y="5505450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352425</xdr:colOff>
      <xdr:row>38</xdr:row>
      <xdr:rowOff>0</xdr:rowOff>
    </xdr:from>
    <xdr:to>
      <xdr:col>20</xdr:col>
      <xdr:colOff>361950</xdr:colOff>
      <xdr:row>39</xdr:row>
      <xdr:rowOff>28575</xdr:rowOff>
    </xdr:to>
    <xdr:sp macro="" textlink="">
      <xdr:nvSpPr>
        <xdr:cNvPr id="2071885" name="Text Box 972"/>
        <xdr:cNvSpPr txBox="1">
          <a:spLocks noChangeArrowheads="1"/>
        </xdr:cNvSpPr>
      </xdr:nvSpPr>
      <xdr:spPr bwMode="auto">
        <a:xfrm>
          <a:off x="3619500" y="5505450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352425</xdr:colOff>
      <xdr:row>38</xdr:row>
      <xdr:rowOff>0</xdr:rowOff>
    </xdr:from>
    <xdr:to>
      <xdr:col>20</xdr:col>
      <xdr:colOff>361950</xdr:colOff>
      <xdr:row>39</xdr:row>
      <xdr:rowOff>28575</xdr:rowOff>
    </xdr:to>
    <xdr:sp macro="" textlink="">
      <xdr:nvSpPr>
        <xdr:cNvPr id="2071886" name="Text Box 973"/>
        <xdr:cNvSpPr txBox="1">
          <a:spLocks noChangeArrowheads="1"/>
        </xdr:cNvSpPr>
      </xdr:nvSpPr>
      <xdr:spPr bwMode="auto">
        <a:xfrm>
          <a:off x="3619500" y="5505450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352425</xdr:colOff>
      <xdr:row>38</xdr:row>
      <xdr:rowOff>0</xdr:rowOff>
    </xdr:from>
    <xdr:to>
      <xdr:col>20</xdr:col>
      <xdr:colOff>361950</xdr:colOff>
      <xdr:row>39</xdr:row>
      <xdr:rowOff>28575</xdr:rowOff>
    </xdr:to>
    <xdr:sp macro="" textlink="">
      <xdr:nvSpPr>
        <xdr:cNvPr id="2071887" name="Text Box 974"/>
        <xdr:cNvSpPr txBox="1">
          <a:spLocks noChangeArrowheads="1"/>
        </xdr:cNvSpPr>
      </xdr:nvSpPr>
      <xdr:spPr bwMode="auto">
        <a:xfrm>
          <a:off x="3619500" y="5505450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295275</xdr:colOff>
      <xdr:row>38</xdr:row>
      <xdr:rowOff>0</xdr:rowOff>
    </xdr:from>
    <xdr:to>
      <xdr:col>20</xdr:col>
      <xdr:colOff>400050</xdr:colOff>
      <xdr:row>39</xdr:row>
      <xdr:rowOff>28575</xdr:rowOff>
    </xdr:to>
    <xdr:sp macro="" textlink="">
      <xdr:nvSpPr>
        <xdr:cNvPr id="2071888" name="Text Box 168"/>
        <xdr:cNvSpPr txBox="1">
          <a:spLocks noChangeArrowheads="1"/>
        </xdr:cNvSpPr>
      </xdr:nvSpPr>
      <xdr:spPr bwMode="auto">
        <a:xfrm>
          <a:off x="3562350" y="55054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295275</xdr:colOff>
      <xdr:row>38</xdr:row>
      <xdr:rowOff>0</xdr:rowOff>
    </xdr:from>
    <xdr:to>
      <xdr:col>20</xdr:col>
      <xdr:colOff>400050</xdr:colOff>
      <xdr:row>39</xdr:row>
      <xdr:rowOff>28575</xdr:rowOff>
    </xdr:to>
    <xdr:sp macro="" textlink="">
      <xdr:nvSpPr>
        <xdr:cNvPr id="2071889" name="Text Box 169"/>
        <xdr:cNvSpPr txBox="1">
          <a:spLocks noChangeArrowheads="1"/>
        </xdr:cNvSpPr>
      </xdr:nvSpPr>
      <xdr:spPr bwMode="auto">
        <a:xfrm>
          <a:off x="3562350" y="55054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295275</xdr:colOff>
      <xdr:row>38</xdr:row>
      <xdr:rowOff>0</xdr:rowOff>
    </xdr:from>
    <xdr:to>
      <xdr:col>20</xdr:col>
      <xdr:colOff>400050</xdr:colOff>
      <xdr:row>39</xdr:row>
      <xdr:rowOff>28575</xdr:rowOff>
    </xdr:to>
    <xdr:sp macro="" textlink="">
      <xdr:nvSpPr>
        <xdr:cNvPr id="2071890" name="Text Box 170"/>
        <xdr:cNvSpPr txBox="1">
          <a:spLocks noChangeArrowheads="1"/>
        </xdr:cNvSpPr>
      </xdr:nvSpPr>
      <xdr:spPr bwMode="auto">
        <a:xfrm>
          <a:off x="3562350" y="55054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295275</xdr:colOff>
      <xdr:row>38</xdr:row>
      <xdr:rowOff>0</xdr:rowOff>
    </xdr:from>
    <xdr:to>
      <xdr:col>20</xdr:col>
      <xdr:colOff>400050</xdr:colOff>
      <xdr:row>39</xdr:row>
      <xdr:rowOff>28575</xdr:rowOff>
    </xdr:to>
    <xdr:sp macro="" textlink="">
      <xdr:nvSpPr>
        <xdr:cNvPr id="2071891" name="Text Box 171"/>
        <xdr:cNvSpPr txBox="1">
          <a:spLocks noChangeArrowheads="1"/>
        </xdr:cNvSpPr>
      </xdr:nvSpPr>
      <xdr:spPr bwMode="auto">
        <a:xfrm>
          <a:off x="3562350" y="55054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295275</xdr:colOff>
      <xdr:row>38</xdr:row>
      <xdr:rowOff>0</xdr:rowOff>
    </xdr:from>
    <xdr:to>
      <xdr:col>20</xdr:col>
      <xdr:colOff>400050</xdr:colOff>
      <xdr:row>39</xdr:row>
      <xdr:rowOff>28575</xdr:rowOff>
    </xdr:to>
    <xdr:sp macro="" textlink="">
      <xdr:nvSpPr>
        <xdr:cNvPr id="2071892" name="Text Box 172"/>
        <xdr:cNvSpPr txBox="1">
          <a:spLocks noChangeArrowheads="1"/>
        </xdr:cNvSpPr>
      </xdr:nvSpPr>
      <xdr:spPr bwMode="auto">
        <a:xfrm>
          <a:off x="3562350" y="55054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295275</xdr:colOff>
      <xdr:row>38</xdr:row>
      <xdr:rowOff>0</xdr:rowOff>
    </xdr:from>
    <xdr:to>
      <xdr:col>20</xdr:col>
      <xdr:colOff>400050</xdr:colOff>
      <xdr:row>39</xdr:row>
      <xdr:rowOff>28575</xdr:rowOff>
    </xdr:to>
    <xdr:sp macro="" textlink="">
      <xdr:nvSpPr>
        <xdr:cNvPr id="2071893" name="Text Box 173"/>
        <xdr:cNvSpPr txBox="1">
          <a:spLocks noChangeArrowheads="1"/>
        </xdr:cNvSpPr>
      </xdr:nvSpPr>
      <xdr:spPr bwMode="auto">
        <a:xfrm>
          <a:off x="3562350" y="55054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295275</xdr:colOff>
      <xdr:row>38</xdr:row>
      <xdr:rowOff>0</xdr:rowOff>
    </xdr:from>
    <xdr:to>
      <xdr:col>20</xdr:col>
      <xdr:colOff>400050</xdr:colOff>
      <xdr:row>39</xdr:row>
      <xdr:rowOff>28575</xdr:rowOff>
    </xdr:to>
    <xdr:sp macro="" textlink="">
      <xdr:nvSpPr>
        <xdr:cNvPr id="2071894" name="Text Box 174"/>
        <xdr:cNvSpPr txBox="1">
          <a:spLocks noChangeArrowheads="1"/>
        </xdr:cNvSpPr>
      </xdr:nvSpPr>
      <xdr:spPr bwMode="auto">
        <a:xfrm>
          <a:off x="3562350" y="55054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295275</xdr:colOff>
      <xdr:row>38</xdr:row>
      <xdr:rowOff>0</xdr:rowOff>
    </xdr:from>
    <xdr:to>
      <xdr:col>20</xdr:col>
      <xdr:colOff>400050</xdr:colOff>
      <xdr:row>39</xdr:row>
      <xdr:rowOff>28575</xdr:rowOff>
    </xdr:to>
    <xdr:sp macro="" textlink="">
      <xdr:nvSpPr>
        <xdr:cNvPr id="2071895" name="Text Box 175"/>
        <xdr:cNvSpPr txBox="1">
          <a:spLocks noChangeArrowheads="1"/>
        </xdr:cNvSpPr>
      </xdr:nvSpPr>
      <xdr:spPr bwMode="auto">
        <a:xfrm>
          <a:off x="3562350" y="55054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295275</xdr:colOff>
      <xdr:row>38</xdr:row>
      <xdr:rowOff>0</xdr:rowOff>
    </xdr:from>
    <xdr:to>
      <xdr:col>20</xdr:col>
      <xdr:colOff>400050</xdr:colOff>
      <xdr:row>39</xdr:row>
      <xdr:rowOff>28575</xdr:rowOff>
    </xdr:to>
    <xdr:sp macro="" textlink="">
      <xdr:nvSpPr>
        <xdr:cNvPr id="2071896" name="Text Box 198"/>
        <xdr:cNvSpPr txBox="1">
          <a:spLocks noChangeArrowheads="1"/>
        </xdr:cNvSpPr>
      </xdr:nvSpPr>
      <xdr:spPr bwMode="auto">
        <a:xfrm>
          <a:off x="3562350" y="55054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295275</xdr:colOff>
      <xdr:row>38</xdr:row>
      <xdr:rowOff>0</xdr:rowOff>
    </xdr:from>
    <xdr:to>
      <xdr:col>20</xdr:col>
      <xdr:colOff>400050</xdr:colOff>
      <xdr:row>39</xdr:row>
      <xdr:rowOff>28575</xdr:rowOff>
    </xdr:to>
    <xdr:sp macro="" textlink="">
      <xdr:nvSpPr>
        <xdr:cNvPr id="2071897" name="Text Box 199"/>
        <xdr:cNvSpPr txBox="1">
          <a:spLocks noChangeArrowheads="1"/>
        </xdr:cNvSpPr>
      </xdr:nvSpPr>
      <xdr:spPr bwMode="auto">
        <a:xfrm>
          <a:off x="3562350" y="55054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295275</xdr:colOff>
      <xdr:row>38</xdr:row>
      <xdr:rowOff>0</xdr:rowOff>
    </xdr:from>
    <xdr:to>
      <xdr:col>20</xdr:col>
      <xdr:colOff>400050</xdr:colOff>
      <xdr:row>39</xdr:row>
      <xdr:rowOff>28575</xdr:rowOff>
    </xdr:to>
    <xdr:sp macro="" textlink="">
      <xdr:nvSpPr>
        <xdr:cNvPr id="2071898" name="Text Box 200"/>
        <xdr:cNvSpPr txBox="1">
          <a:spLocks noChangeArrowheads="1"/>
        </xdr:cNvSpPr>
      </xdr:nvSpPr>
      <xdr:spPr bwMode="auto">
        <a:xfrm>
          <a:off x="3562350" y="55054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295275</xdr:colOff>
      <xdr:row>38</xdr:row>
      <xdr:rowOff>0</xdr:rowOff>
    </xdr:from>
    <xdr:to>
      <xdr:col>20</xdr:col>
      <xdr:colOff>400050</xdr:colOff>
      <xdr:row>39</xdr:row>
      <xdr:rowOff>28575</xdr:rowOff>
    </xdr:to>
    <xdr:sp macro="" textlink="">
      <xdr:nvSpPr>
        <xdr:cNvPr id="2071899" name="Text Box 201"/>
        <xdr:cNvSpPr txBox="1">
          <a:spLocks noChangeArrowheads="1"/>
        </xdr:cNvSpPr>
      </xdr:nvSpPr>
      <xdr:spPr bwMode="auto">
        <a:xfrm>
          <a:off x="3562350" y="55054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295275</xdr:colOff>
      <xdr:row>38</xdr:row>
      <xdr:rowOff>0</xdr:rowOff>
    </xdr:from>
    <xdr:to>
      <xdr:col>20</xdr:col>
      <xdr:colOff>400050</xdr:colOff>
      <xdr:row>39</xdr:row>
      <xdr:rowOff>28575</xdr:rowOff>
    </xdr:to>
    <xdr:sp macro="" textlink="">
      <xdr:nvSpPr>
        <xdr:cNvPr id="2071900" name="Text Box 202"/>
        <xdr:cNvSpPr txBox="1">
          <a:spLocks noChangeArrowheads="1"/>
        </xdr:cNvSpPr>
      </xdr:nvSpPr>
      <xdr:spPr bwMode="auto">
        <a:xfrm>
          <a:off x="3562350" y="55054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295275</xdr:colOff>
      <xdr:row>38</xdr:row>
      <xdr:rowOff>0</xdr:rowOff>
    </xdr:from>
    <xdr:to>
      <xdr:col>20</xdr:col>
      <xdr:colOff>400050</xdr:colOff>
      <xdr:row>39</xdr:row>
      <xdr:rowOff>28575</xdr:rowOff>
    </xdr:to>
    <xdr:sp macro="" textlink="">
      <xdr:nvSpPr>
        <xdr:cNvPr id="2071901" name="Text Box 203"/>
        <xdr:cNvSpPr txBox="1">
          <a:spLocks noChangeArrowheads="1"/>
        </xdr:cNvSpPr>
      </xdr:nvSpPr>
      <xdr:spPr bwMode="auto">
        <a:xfrm>
          <a:off x="3562350" y="55054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295275</xdr:colOff>
      <xdr:row>38</xdr:row>
      <xdr:rowOff>0</xdr:rowOff>
    </xdr:from>
    <xdr:to>
      <xdr:col>20</xdr:col>
      <xdr:colOff>400050</xdr:colOff>
      <xdr:row>39</xdr:row>
      <xdr:rowOff>28575</xdr:rowOff>
    </xdr:to>
    <xdr:sp macro="" textlink="">
      <xdr:nvSpPr>
        <xdr:cNvPr id="2071902" name="Text Box 204"/>
        <xdr:cNvSpPr txBox="1">
          <a:spLocks noChangeArrowheads="1"/>
        </xdr:cNvSpPr>
      </xdr:nvSpPr>
      <xdr:spPr bwMode="auto">
        <a:xfrm>
          <a:off x="3562350" y="55054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295275</xdr:colOff>
      <xdr:row>38</xdr:row>
      <xdr:rowOff>0</xdr:rowOff>
    </xdr:from>
    <xdr:to>
      <xdr:col>20</xdr:col>
      <xdr:colOff>400050</xdr:colOff>
      <xdr:row>39</xdr:row>
      <xdr:rowOff>28575</xdr:rowOff>
    </xdr:to>
    <xdr:sp macro="" textlink="">
      <xdr:nvSpPr>
        <xdr:cNvPr id="2071903" name="Text Box 260"/>
        <xdr:cNvSpPr txBox="1">
          <a:spLocks noChangeArrowheads="1"/>
        </xdr:cNvSpPr>
      </xdr:nvSpPr>
      <xdr:spPr bwMode="auto">
        <a:xfrm>
          <a:off x="3562350" y="55054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295275</xdr:colOff>
      <xdr:row>38</xdr:row>
      <xdr:rowOff>0</xdr:rowOff>
    </xdr:from>
    <xdr:to>
      <xdr:col>20</xdr:col>
      <xdr:colOff>400050</xdr:colOff>
      <xdr:row>39</xdr:row>
      <xdr:rowOff>28575</xdr:rowOff>
    </xdr:to>
    <xdr:sp macro="" textlink="">
      <xdr:nvSpPr>
        <xdr:cNvPr id="2071904" name="Text Box 261"/>
        <xdr:cNvSpPr txBox="1">
          <a:spLocks noChangeArrowheads="1"/>
        </xdr:cNvSpPr>
      </xdr:nvSpPr>
      <xdr:spPr bwMode="auto">
        <a:xfrm>
          <a:off x="3562350" y="55054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295275</xdr:colOff>
      <xdr:row>38</xdr:row>
      <xdr:rowOff>0</xdr:rowOff>
    </xdr:from>
    <xdr:to>
      <xdr:col>20</xdr:col>
      <xdr:colOff>400050</xdr:colOff>
      <xdr:row>39</xdr:row>
      <xdr:rowOff>28575</xdr:rowOff>
    </xdr:to>
    <xdr:sp macro="" textlink="">
      <xdr:nvSpPr>
        <xdr:cNvPr id="2071905" name="Text Box 971"/>
        <xdr:cNvSpPr txBox="1">
          <a:spLocks noChangeArrowheads="1"/>
        </xdr:cNvSpPr>
      </xdr:nvSpPr>
      <xdr:spPr bwMode="auto">
        <a:xfrm>
          <a:off x="3562350" y="55054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295275</xdr:colOff>
      <xdr:row>38</xdr:row>
      <xdr:rowOff>0</xdr:rowOff>
    </xdr:from>
    <xdr:to>
      <xdr:col>20</xdr:col>
      <xdr:colOff>400050</xdr:colOff>
      <xdr:row>39</xdr:row>
      <xdr:rowOff>28575</xdr:rowOff>
    </xdr:to>
    <xdr:sp macro="" textlink="">
      <xdr:nvSpPr>
        <xdr:cNvPr id="2071906" name="Text Box 972"/>
        <xdr:cNvSpPr txBox="1">
          <a:spLocks noChangeArrowheads="1"/>
        </xdr:cNvSpPr>
      </xdr:nvSpPr>
      <xdr:spPr bwMode="auto">
        <a:xfrm>
          <a:off x="3562350" y="55054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295275</xdr:colOff>
      <xdr:row>38</xdr:row>
      <xdr:rowOff>0</xdr:rowOff>
    </xdr:from>
    <xdr:to>
      <xdr:col>20</xdr:col>
      <xdr:colOff>400050</xdr:colOff>
      <xdr:row>39</xdr:row>
      <xdr:rowOff>28575</xdr:rowOff>
    </xdr:to>
    <xdr:sp macro="" textlink="">
      <xdr:nvSpPr>
        <xdr:cNvPr id="2071907" name="Text Box 973"/>
        <xdr:cNvSpPr txBox="1">
          <a:spLocks noChangeArrowheads="1"/>
        </xdr:cNvSpPr>
      </xdr:nvSpPr>
      <xdr:spPr bwMode="auto">
        <a:xfrm>
          <a:off x="3562350" y="55054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295275</xdr:colOff>
      <xdr:row>38</xdr:row>
      <xdr:rowOff>0</xdr:rowOff>
    </xdr:from>
    <xdr:to>
      <xdr:col>20</xdr:col>
      <xdr:colOff>400050</xdr:colOff>
      <xdr:row>39</xdr:row>
      <xdr:rowOff>28575</xdr:rowOff>
    </xdr:to>
    <xdr:sp macro="" textlink="">
      <xdr:nvSpPr>
        <xdr:cNvPr id="2071908" name="Text Box 974"/>
        <xdr:cNvSpPr txBox="1">
          <a:spLocks noChangeArrowheads="1"/>
        </xdr:cNvSpPr>
      </xdr:nvSpPr>
      <xdr:spPr bwMode="auto">
        <a:xfrm>
          <a:off x="3562350" y="55054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352425</xdr:colOff>
      <xdr:row>38</xdr:row>
      <xdr:rowOff>0</xdr:rowOff>
    </xdr:from>
    <xdr:to>
      <xdr:col>19</xdr:col>
      <xdr:colOff>361950</xdr:colOff>
      <xdr:row>39</xdr:row>
      <xdr:rowOff>28575</xdr:rowOff>
    </xdr:to>
    <xdr:sp macro="" textlink="">
      <xdr:nvSpPr>
        <xdr:cNvPr id="2071909" name="Text Box 168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352425</xdr:colOff>
      <xdr:row>38</xdr:row>
      <xdr:rowOff>0</xdr:rowOff>
    </xdr:from>
    <xdr:to>
      <xdr:col>19</xdr:col>
      <xdr:colOff>361950</xdr:colOff>
      <xdr:row>39</xdr:row>
      <xdr:rowOff>28575</xdr:rowOff>
    </xdr:to>
    <xdr:sp macro="" textlink="">
      <xdr:nvSpPr>
        <xdr:cNvPr id="2071910" name="Text Box 169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352425</xdr:colOff>
      <xdr:row>38</xdr:row>
      <xdr:rowOff>0</xdr:rowOff>
    </xdr:from>
    <xdr:to>
      <xdr:col>19</xdr:col>
      <xdr:colOff>361950</xdr:colOff>
      <xdr:row>39</xdr:row>
      <xdr:rowOff>28575</xdr:rowOff>
    </xdr:to>
    <xdr:sp macro="" textlink="">
      <xdr:nvSpPr>
        <xdr:cNvPr id="2071911" name="Text Box 170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352425</xdr:colOff>
      <xdr:row>38</xdr:row>
      <xdr:rowOff>0</xdr:rowOff>
    </xdr:from>
    <xdr:to>
      <xdr:col>19</xdr:col>
      <xdr:colOff>361950</xdr:colOff>
      <xdr:row>39</xdr:row>
      <xdr:rowOff>28575</xdr:rowOff>
    </xdr:to>
    <xdr:sp macro="" textlink="">
      <xdr:nvSpPr>
        <xdr:cNvPr id="2071912" name="Text Box 17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352425</xdr:colOff>
      <xdr:row>38</xdr:row>
      <xdr:rowOff>0</xdr:rowOff>
    </xdr:from>
    <xdr:to>
      <xdr:col>19</xdr:col>
      <xdr:colOff>361950</xdr:colOff>
      <xdr:row>39</xdr:row>
      <xdr:rowOff>28575</xdr:rowOff>
    </xdr:to>
    <xdr:sp macro="" textlink="">
      <xdr:nvSpPr>
        <xdr:cNvPr id="2071913" name="Text Box 172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352425</xdr:colOff>
      <xdr:row>38</xdr:row>
      <xdr:rowOff>0</xdr:rowOff>
    </xdr:from>
    <xdr:to>
      <xdr:col>19</xdr:col>
      <xdr:colOff>361950</xdr:colOff>
      <xdr:row>39</xdr:row>
      <xdr:rowOff>28575</xdr:rowOff>
    </xdr:to>
    <xdr:sp macro="" textlink="">
      <xdr:nvSpPr>
        <xdr:cNvPr id="2071914" name="Text Box 173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352425</xdr:colOff>
      <xdr:row>38</xdr:row>
      <xdr:rowOff>0</xdr:rowOff>
    </xdr:from>
    <xdr:to>
      <xdr:col>19</xdr:col>
      <xdr:colOff>361950</xdr:colOff>
      <xdr:row>39</xdr:row>
      <xdr:rowOff>28575</xdr:rowOff>
    </xdr:to>
    <xdr:sp macro="" textlink="">
      <xdr:nvSpPr>
        <xdr:cNvPr id="2071915" name="Text Box 174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352425</xdr:colOff>
      <xdr:row>38</xdr:row>
      <xdr:rowOff>0</xdr:rowOff>
    </xdr:from>
    <xdr:to>
      <xdr:col>19</xdr:col>
      <xdr:colOff>361950</xdr:colOff>
      <xdr:row>39</xdr:row>
      <xdr:rowOff>28575</xdr:rowOff>
    </xdr:to>
    <xdr:sp macro="" textlink="">
      <xdr:nvSpPr>
        <xdr:cNvPr id="2071916" name="Text Box 175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352425</xdr:colOff>
      <xdr:row>38</xdr:row>
      <xdr:rowOff>0</xdr:rowOff>
    </xdr:from>
    <xdr:to>
      <xdr:col>19</xdr:col>
      <xdr:colOff>361950</xdr:colOff>
      <xdr:row>39</xdr:row>
      <xdr:rowOff>28575</xdr:rowOff>
    </xdr:to>
    <xdr:sp macro="" textlink="">
      <xdr:nvSpPr>
        <xdr:cNvPr id="2071917" name="Text Box 198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352425</xdr:colOff>
      <xdr:row>38</xdr:row>
      <xdr:rowOff>0</xdr:rowOff>
    </xdr:from>
    <xdr:to>
      <xdr:col>19</xdr:col>
      <xdr:colOff>361950</xdr:colOff>
      <xdr:row>39</xdr:row>
      <xdr:rowOff>28575</xdr:rowOff>
    </xdr:to>
    <xdr:sp macro="" textlink="">
      <xdr:nvSpPr>
        <xdr:cNvPr id="2071918" name="Text Box 199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352425</xdr:colOff>
      <xdr:row>38</xdr:row>
      <xdr:rowOff>0</xdr:rowOff>
    </xdr:from>
    <xdr:to>
      <xdr:col>19</xdr:col>
      <xdr:colOff>361950</xdr:colOff>
      <xdr:row>39</xdr:row>
      <xdr:rowOff>28575</xdr:rowOff>
    </xdr:to>
    <xdr:sp macro="" textlink="">
      <xdr:nvSpPr>
        <xdr:cNvPr id="2071919" name="Text Box 200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352425</xdr:colOff>
      <xdr:row>38</xdr:row>
      <xdr:rowOff>0</xdr:rowOff>
    </xdr:from>
    <xdr:to>
      <xdr:col>19</xdr:col>
      <xdr:colOff>361950</xdr:colOff>
      <xdr:row>39</xdr:row>
      <xdr:rowOff>28575</xdr:rowOff>
    </xdr:to>
    <xdr:sp macro="" textlink="">
      <xdr:nvSpPr>
        <xdr:cNvPr id="2071920" name="Text Box 20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352425</xdr:colOff>
      <xdr:row>38</xdr:row>
      <xdr:rowOff>0</xdr:rowOff>
    </xdr:from>
    <xdr:to>
      <xdr:col>19</xdr:col>
      <xdr:colOff>361950</xdr:colOff>
      <xdr:row>39</xdr:row>
      <xdr:rowOff>28575</xdr:rowOff>
    </xdr:to>
    <xdr:sp macro="" textlink="">
      <xdr:nvSpPr>
        <xdr:cNvPr id="2071921" name="Text Box 202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352425</xdr:colOff>
      <xdr:row>38</xdr:row>
      <xdr:rowOff>0</xdr:rowOff>
    </xdr:from>
    <xdr:to>
      <xdr:col>19</xdr:col>
      <xdr:colOff>361950</xdr:colOff>
      <xdr:row>39</xdr:row>
      <xdr:rowOff>28575</xdr:rowOff>
    </xdr:to>
    <xdr:sp macro="" textlink="">
      <xdr:nvSpPr>
        <xdr:cNvPr id="2071922" name="Text Box 203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352425</xdr:colOff>
      <xdr:row>38</xdr:row>
      <xdr:rowOff>0</xdr:rowOff>
    </xdr:from>
    <xdr:to>
      <xdr:col>19</xdr:col>
      <xdr:colOff>361950</xdr:colOff>
      <xdr:row>39</xdr:row>
      <xdr:rowOff>28575</xdr:rowOff>
    </xdr:to>
    <xdr:sp macro="" textlink="">
      <xdr:nvSpPr>
        <xdr:cNvPr id="2071923" name="Text Box 204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352425</xdr:colOff>
      <xdr:row>38</xdr:row>
      <xdr:rowOff>0</xdr:rowOff>
    </xdr:from>
    <xdr:to>
      <xdr:col>19</xdr:col>
      <xdr:colOff>361950</xdr:colOff>
      <xdr:row>39</xdr:row>
      <xdr:rowOff>28575</xdr:rowOff>
    </xdr:to>
    <xdr:sp macro="" textlink="">
      <xdr:nvSpPr>
        <xdr:cNvPr id="2071924" name="Text Box 260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352425</xdr:colOff>
      <xdr:row>38</xdr:row>
      <xdr:rowOff>0</xdr:rowOff>
    </xdr:from>
    <xdr:to>
      <xdr:col>19</xdr:col>
      <xdr:colOff>361950</xdr:colOff>
      <xdr:row>39</xdr:row>
      <xdr:rowOff>28575</xdr:rowOff>
    </xdr:to>
    <xdr:sp macro="" textlink="">
      <xdr:nvSpPr>
        <xdr:cNvPr id="2071925" name="Text Box 26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352425</xdr:colOff>
      <xdr:row>38</xdr:row>
      <xdr:rowOff>0</xdr:rowOff>
    </xdr:from>
    <xdr:to>
      <xdr:col>19</xdr:col>
      <xdr:colOff>361950</xdr:colOff>
      <xdr:row>39</xdr:row>
      <xdr:rowOff>28575</xdr:rowOff>
    </xdr:to>
    <xdr:sp macro="" textlink="">
      <xdr:nvSpPr>
        <xdr:cNvPr id="2071926" name="Text Box 97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352425</xdr:colOff>
      <xdr:row>38</xdr:row>
      <xdr:rowOff>0</xdr:rowOff>
    </xdr:from>
    <xdr:to>
      <xdr:col>19</xdr:col>
      <xdr:colOff>361950</xdr:colOff>
      <xdr:row>39</xdr:row>
      <xdr:rowOff>28575</xdr:rowOff>
    </xdr:to>
    <xdr:sp macro="" textlink="">
      <xdr:nvSpPr>
        <xdr:cNvPr id="2071927" name="Text Box 972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352425</xdr:colOff>
      <xdr:row>38</xdr:row>
      <xdr:rowOff>0</xdr:rowOff>
    </xdr:from>
    <xdr:to>
      <xdr:col>19</xdr:col>
      <xdr:colOff>361950</xdr:colOff>
      <xdr:row>39</xdr:row>
      <xdr:rowOff>28575</xdr:rowOff>
    </xdr:to>
    <xdr:sp macro="" textlink="">
      <xdr:nvSpPr>
        <xdr:cNvPr id="2071928" name="Text Box 973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352425</xdr:colOff>
      <xdr:row>38</xdr:row>
      <xdr:rowOff>0</xdr:rowOff>
    </xdr:from>
    <xdr:to>
      <xdr:col>19</xdr:col>
      <xdr:colOff>361950</xdr:colOff>
      <xdr:row>39</xdr:row>
      <xdr:rowOff>28575</xdr:rowOff>
    </xdr:to>
    <xdr:sp macro="" textlink="">
      <xdr:nvSpPr>
        <xdr:cNvPr id="2071929" name="Text Box 974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295275</xdr:colOff>
      <xdr:row>38</xdr:row>
      <xdr:rowOff>0</xdr:rowOff>
    </xdr:from>
    <xdr:to>
      <xdr:col>19</xdr:col>
      <xdr:colOff>400050</xdr:colOff>
      <xdr:row>39</xdr:row>
      <xdr:rowOff>28575</xdr:rowOff>
    </xdr:to>
    <xdr:sp macro="" textlink="">
      <xdr:nvSpPr>
        <xdr:cNvPr id="2071930" name="Text Box 168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295275</xdr:colOff>
      <xdr:row>38</xdr:row>
      <xdr:rowOff>0</xdr:rowOff>
    </xdr:from>
    <xdr:to>
      <xdr:col>19</xdr:col>
      <xdr:colOff>400050</xdr:colOff>
      <xdr:row>39</xdr:row>
      <xdr:rowOff>28575</xdr:rowOff>
    </xdr:to>
    <xdr:sp macro="" textlink="">
      <xdr:nvSpPr>
        <xdr:cNvPr id="2071931" name="Text Box 169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295275</xdr:colOff>
      <xdr:row>38</xdr:row>
      <xdr:rowOff>0</xdr:rowOff>
    </xdr:from>
    <xdr:to>
      <xdr:col>19</xdr:col>
      <xdr:colOff>400050</xdr:colOff>
      <xdr:row>39</xdr:row>
      <xdr:rowOff>28575</xdr:rowOff>
    </xdr:to>
    <xdr:sp macro="" textlink="">
      <xdr:nvSpPr>
        <xdr:cNvPr id="2071932" name="Text Box 170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295275</xdr:colOff>
      <xdr:row>38</xdr:row>
      <xdr:rowOff>0</xdr:rowOff>
    </xdr:from>
    <xdr:to>
      <xdr:col>19</xdr:col>
      <xdr:colOff>400050</xdr:colOff>
      <xdr:row>39</xdr:row>
      <xdr:rowOff>28575</xdr:rowOff>
    </xdr:to>
    <xdr:sp macro="" textlink="">
      <xdr:nvSpPr>
        <xdr:cNvPr id="2071933" name="Text Box 17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295275</xdr:colOff>
      <xdr:row>38</xdr:row>
      <xdr:rowOff>0</xdr:rowOff>
    </xdr:from>
    <xdr:to>
      <xdr:col>19</xdr:col>
      <xdr:colOff>400050</xdr:colOff>
      <xdr:row>39</xdr:row>
      <xdr:rowOff>28575</xdr:rowOff>
    </xdr:to>
    <xdr:sp macro="" textlink="">
      <xdr:nvSpPr>
        <xdr:cNvPr id="2071934" name="Text Box 172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295275</xdr:colOff>
      <xdr:row>38</xdr:row>
      <xdr:rowOff>0</xdr:rowOff>
    </xdr:from>
    <xdr:to>
      <xdr:col>19</xdr:col>
      <xdr:colOff>400050</xdr:colOff>
      <xdr:row>39</xdr:row>
      <xdr:rowOff>28575</xdr:rowOff>
    </xdr:to>
    <xdr:sp macro="" textlink="">
      <xdr:nvSpPr>
        <xdr:cNvPr id="2071935" name="Text Box 173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295275</xdr:colOff>
      <xdr:row>38</xdr:row>
      <xdr:rowOff>0</xdr:rowOff>
    </xdr:from>
    <xdr:to>
      <xdr:col>19</xdr:col>
      <xdr:colOff>400050</xdr:colOff>
      <xdr:row>39</xdr:row>
      <xdr:rowOff>28575</xdr:rowOff>
    </xdr:to>
    <xdr:sp macro="" textlink="">
      <xdr:nvSpPr>
        <xdr:cNvPr id="2071936" name="Text Box 174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295275</xdr:colOff>
      <xdr:row>38</xdr:row>
      <xdr:rowOff>0</xdr:rowOff>
    </xdr:from>
    <xdr:to>
      <xdr:col>19</xdr:col>
      <xdr:colOff>400050</xdr:colOff>
      <xdr:row>39</xdr:row>
      <xdr:rowOff>28575</xdr:rowOff>
    </xdr:to>
    <xdr:sp macro="" textlink="">
      <xdr:nvSpPr>
        <xdr:cNvPr id="2071937" name="Text Box 175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295275</xdr:colOff>
      <xdr:row>38</xdr:row>
      <xdr:rowOff>0</xdr:rowOff>
    </xdr:from>
    <xdr:to>
      <xdr:col>19</xdr:col>
      <xdr:colOff>400050</xdr:colOff>
      <xdr:row>39</xdr:row>
      <xdr:rowOff>28575</xdr:rowOff>
    </xdr:to>
    <xdr:sp macro="" textlink="">
      <xdr:nvSpPr>
        <xdr:cNvPr id="2071938" name="Text Box 198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295275</xdr:colOff>
      <xdr:row>38</xdr:row>
      <xdr:rowOff>0</xdr:rowOff>
    </xdr:from>
    <xdr:to>
      <xdr:col>19</xdr:col>
      <xdr:colOff>400050</xdr:colOff>
      <xdr:row>39</xdr:row>
      <xdr:rowOff>28575</xdr:rowOff>
    </xdr:to>
    <xdr:sp macro="" textlink="">
      <xdr:nvSpPr>
        <xdr:cNvPr id="2071939" name="Text Box 199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295275</xdr:colOff>
      <xdr:row>38</xdr:row>
      <xdr:rowOff>0</xdr:rowOff>
    </xdr:from>
    <xdr:to>
      <xdr:col>19</xdr:col>
      <xdr:colOff>400050</xdr:colOff>
      <xdr:row>39</xdr:row>
      <xdr:rowOff>28575</xdr:rowOff>
    </xdr:to>
    <xdr:sp macro="" textlink="">
      <xdr:nvSpPr>
        <xdr:cNvPr id="2071940" name="Text Box 200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295275</xdr:colOff>
      <xdr:row>38</xdr:row>
      <xdr:rowOff>0</xdr:rowOff>
    </xdr:from>
    <xdr:to>
      <xdr:col>19</xdr:col>
      <xdr:colOff>400050</xdr:colOff>
      <xdr:row>39</xdr:row>
      <xdr:rowOff>28575</xdr:rowOff>
    </xdr:to>
    <xdr:sp macro="" textlink="">
      <xdr:nvSpPr>
        <xdr:cNvPr id="2071941" name="Text Box 20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295275</xdr:colOff>
      <xdr:row>38</xdr:row>
      <xdr:rowOff>0</xdr:rowOff>
    </xdr:from>
    <xdr:to>
      <xdr:col>19</xdr:col>
      <xdr:colOff>400050</xdr:colOff>
      <xdr:row>39</xdr:row>
      <xdr:rowOff>28575</xdr:rowOff>
    </xdr:to>
    <xdr:sp macro="" textlink="">
      <xdr:nvSpPr>
        <xdr:cNvPr id="2071942" name="Text Box 202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295275</xdr:colOff>
      <xdr:row>38</xdr:row>
      <xdr:rowOff>0</xdr:rowOff>
    </xdr:from>
    <xdr:to>
      <xdr:col>19</xdr:col>
      <xdr:colOff>400050</xdr:colOff>
      <xdr:row>39</xdr:row>
      <xdr:rowOff>28575</xdr:rowOff>
    </xdr:to>
    <xdr:sp macro="" textlink="">
      <xdr:nvSpPr>
        <xdr:cNvPr id="2071943" name="Text Box 203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295275</xdr:colOff>
      <xdr:row>38</xdr:row>
      <xdr:rowOff>0</xdr:rowOff>
    </xdr:from>
    <xdr:to>
      <xdr:col>19</xdr:col>
      <xdr:colOff>400050</xdr:colOff>
      <xdr:row>39</xdr:row>
      <xdr:rowOff>28575</xdr:rowOff>
    </xdr:to>
    <xdr:sp macro="" textlink="">
      <xdr:nvSpPr>
        <xdr:cNvPr id="2071944" name="Text Box 204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295275</xdr:colOff>
      <xdr:row>38</xdr:row>
      <xdr:rowOff>0</xdr:rowOff>
    </xdr:from>
    <xdr:to>
      <xdr:col>19</xdr:col>
      <xdr:colOff>400050</xdr:colOff>
      <xdr:row>39</xdr:row>
      <xdr:rowOff>28575</xdr:rowOff>
    </xdr:to>
    <xdr:sp macro="" textlink="">
      <xdr:nvSpPr>
        <xdr:cNvPr id="2071945" name="Text Box 260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295275</xdr:colOff>
      <xdr:row>38</xdr:row>
      <xdr:rowOff>0</xdr:rowOff>
    </xdr:from>
    <xdr:to>
      <xdr:col>19</xdr:col>
      <xdr:colOff>400050</xdr:colOff>
      <xdr:row>39</xdr:row>
      <xdr:rowOff>28575</xdr:rowOff>
    </xdr:to>
    <xdr:sp macro="" textlink="">
      <xdr:nvSpPr>
        <xdr:cNvPr id="2071946" name="Text Box 26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295275</xdr:colOff>
      <xdr:row>38</xdr:row>
      <xdr:rowOff>0</xdr:rowOff>
    </xdr:from>
    <xdr:to>
      <xdr:col>19</xdr:col>
      <xdr:colOff>400050</xdr:colOff>
      <xdr:row>39</xdr:row>
      <xdr:rowOff>28575</xdr:rowOff>
    </xdr:to>
    <xdr:sp macro="" textlink="">
      <xdr:nvSpPr>
        <xdr:cNvPr id="2071947" name="Text Box 971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295275</xdr:colOff>
      <xdr:row>38</xdr:row>
      <xdr:rowOff>0</xdr:rowOff>
    </xdr:from>
    <xdr:to>
      <xdr:col>19</xdr:col>
      <xdr:colOff>400050</xdr:colOff>
      <xdr:row>39</xdr:row>
      <xdr:rowOff>28575</xdr:rowOff>
    </xdr:to>
    <xdr:sp macro="" textlink="">
      <xdr:nvSpPr>
        <xdr:cNvPr id="2071948" name="Text Box 972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295275</xdr:colOff>
      <xdr:row>38</xdr:row>
      <xdr:rowOff>0</xdr:rowOff>
    </xdr:from>
    <xdr:to>
      <xdr:col>19</xdr:col>
      <xdr:colOff>400050</xdr:colOff>
      <xdr:row>39</xdr:row>
      <xdr:rowOff>28575</xdr:rowOff>
    </xdr:to>
    <xdr:sp macro="" textlink="">
      <xdr:nvSpPr>
        <xdr:cNvPr id="2071949" name="Text Box 973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295275</xdr:colOff>
      <xdr:row>38</xdr:row>
      <xdr:rowOff>0</xdr:rowOff>
    </xdr:from>
    <xdr:to>
      <xdr:col>19</xdr:col>
      <xdr:colOff>400050</xdr:colOff>
      <xdr:row>39</xdr:row>
      <xdr:rowOff>28575</xdr:rowOff>
    </xdr:to>
    <xdr:sp macro="" textlink="">
      <xdr:nvSpPr>
        <xdr:cNvPr id="2071950" name="Text Box 974"/>
        <xdr:cNvSpPr txBox="1">
          <a:spLocks noChangeArrowheads="1"/>
        </xdr:cNvSpPr>
      </xdr:nvSpPr>
      <xdr:spPr bwMode="auto">
        <a:xfrm>
          <a:off x="3267075" y="5505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352425</xdr:colOff>
      <xdr:row>38</xdr:row>
      <xdr:rowOff>0</xdr:rowOff>
    </xdr:from>
    <xdr:to>
      <xdr:col>20</xdr:col>
      <xdr:colOff>361950</xdr:colOff>
      <xdr:row>39</xdr:row>
      <xdr:rowOff>28575</xdr:rowOff>
    </xdr:to>
    <xdr:sp macro="" textlink="">
      <xdr:nvSpPr>
        <xdr:cNvPr id="2071951" name="Text Box 168"/>
        <xdr:cNvSpPr txBox="1">
          <a:spLocks noChangeArrowheads="1"/>
        </xdr:cNvSpPr>
      </xdr:nvSpPr>
      <xdr:spPr bwMode="auto">
        <a:xfrm>
          <a:off x="3619500" y="5505450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352425</xdr:colOff>
      <xdr:row>38</xdr:row>
      <xdr:rowOff>0</xdr:rowOff>
    </xdr:from>
    <xdr:to>
      <xdr:col>20</xdr:col>
      <xdr:colOff>361950</xdr:colOff>
      <xdr:row>39</xdr:row>
      <xdr:rowOff>28575</xdr:rowOff>
    </xdr:to>
    <xdr:sp macro="" textlink="">
      <xdr:nvSpPr>
        <xdr:cNvPr id="2071952" name="Text Box 169"/>
        <xdr:cNvSpPr txBox="1">
          <a:spLocks noChangeArrowheads="1"/>
        </xdr:cNvSpPr>
      </xdr:nvSpPr>
      <xdr:spPr bwMode="auto">
        <a:xfrm>
          <a:off x="3619500" y="5505450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352425</xdr:colOff>
      <xdr:row>38</xdr:row>
      <xdr:rowOff>0</xdr:rowOff>
    </xdr:from>
    <xdr:to>
      <xdr:col>20</xdr:col>
      <xdr:colOff>361950</xdr:colOff>
      <xdr:row>39</xdr:row>
      <xdr:rowOff>28575</xdr:rowOff>
    </xdr:to>
    <xdr:sp macro="" textlink="">
      <xdr:nvSpPr>
        <xdr:cNvPr id="2071953" name="Text Box 170"/>
        <xdr:cNvSpPr txBox="1">
          <a:spLocks noChangeArrowheads="1"/>
        </xdr:cNvSpPr>
      </xdr:nvSpPr>
      <xdr:spPr bwMode="auto">
        <a:xfrm>
          <a:off x="3619500" y="5505450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352425</xdr:colOff>
      <xdr:row>38</xdr:row>
      <xdr:rowOff>0</xdr:rowOff>
    </xdr:from>
    <xdr:to>
      <xdr:col>20</xdr:col>
      <xdr:colOff>361950</xdr:colOff>
      <xdr:row>39</xdr:row>
      <xdr:rowOff>28575</xdr:rowOff>
    </xdr:to>
    <xdr:sp macro="" textlink="">
      <xdr:nvSpPr>
        <xdr:cNvPr id="2071954" name="Text Box 171"/>
        <xdr:cNvSpPr txBox="1">
          <a:spLocks noChangeArrowheads="1"/>
        </xdr:cNvSpPr>
      </xdr:nvSpPr>
      <xdr:spPr bwMode="auto">
        <a:xfrm>
          <a:off x="3619500" y="5505450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352425</xdr:colOff>
      <xdr:row>38</xdr:row>
      <xdr:rowOff>0</xdr:rowOff>
    </xdr:from>
    <xdr:to>
      <xdr:col>20</xdr:col>
      <xdr:colOff>361950</xdr:colOff>
      <xdr:row>39</xdr:row>
      <xdr:rowOff>28575</xdr:rowOff>
    </xdr:to>
    <xdr:sp macro="" textlink="">
      <xdr:nvSpPr>
        <xdr:cNvPr id="2071955" name="Text Box 172"/>
        <xdr:cNvSpPr txBox="1">
          <a:spLocks noChangeArrowheads="1"/>
        </xdr:cNvSpPr>
      </xdr:nvSpPr>
      <xdr:spPr bwMode="auto">
        <a:xfrm>
          <a:off x="3619500" y="5505450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352425</xdr:colOff>
      <xdr:row>38</xdr:row>
      <xdr:rowOff>0</xdr:rowOff>
    </xdr:from>
    <xdr:to>
      <xdr:col>20</xdr:col>
      <xdr:colOff>361950</xdr:colOff>
      <xdr:row>39</xdr:row>
      <xdr:rowOff>28575</xdr:rowOff>
    </xdr:to>
    <xdr:sp macro="" textlink="">
      <xdr:nvSpPr>
        <xdr:cNvPr id="2071956" name="Text Box 173"/>
        <xdr:cNvSpPr txBox="1">
          <a:spLocks noChangeArrowheads="1"/>
        </xdr:cNvSpPr>
      </xdr:nvSpPr>
      <xdr:spPr bwMode="auto">
        <a:xfrm>
          <a:off x="3619500" y="5505450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352425</xdr:colOff>
      <xdr:row>38</xdr:row>
      <xdr:rowOff>0</xdr:rowOff>
    </xdr:from>
    <xdr:to>
      <xdr:col>20</xdr:col>
      <xdr:colOff>361950</xdr:colOff>
      <xdr:row>39</xdr:row>
      <xdr:rowOff>28575</xdr:rowOff>
    </xdr:to>
    <xdr:sp macro="" textlink="">
      <xdr:nvSpPr>
        <xdr:cNvPr id="2071957" name="Text Box 174"/>
        <xdr:cNvSpPr txBox="1">
          <a:spLocks noChangeArrowheads="1"/>
        </xdr:cNvSpPr>
      </xdr:nvSpPr>
      <xdr:spPr bwMode="auto">
        <a:xfrm>
          <a:off x="3619500" y="5505450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352425</xdr:colOff>
      <xdr:row>38</xdr:row>
      <xdr:rowOff>0</xdr:rowOff>
    </xdr:from>
    <xdr:to>
      <xdr:col>20</xdr:col>
      <xdr:colOff>361950</xdr:colOff>
      <xdr:row>39</xdr:row>
      <xdr:rowOff>28575</xdr:rowOff>
    </xdr:to>
    <xdr:sp macro="" textlink="">
      <xdr:nvSpPr>
        <xdr:cNvPr id="2071958" name="Text Box 175"/>
        <xdr:cNvSpPr txBox="1">
          <a:spLocks noChangeArrowheads="1"/>
        </xdr:cNvSpPr>
      </xdr:nvSpPr>
      <xdr:spPr bwMode="auto">
        <a:xfrm>
          <a:off x="3619500" y="5505450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352425</xdr:colOff>
      <xdr:row>38</xdr:row>
      <xdr:rowOff>0</xdr:rowOff>
    </xdr:from>
    <xdr:to>
      <xdr:col>20</xdr:col>
      <xdr:colOff>361950</xdr:colOff>
      <xdr:row>39</xdr:row>
      <xdr:rowOff>28575</xdr:rowOff>
    </xdr:to>
    <xdr:sp macro="" textlink="">
      <xdr:nvSpPr>
        <xdr:cNvPr id="2071959" name="Text Box 198"/>
        <xdr:cNvSpPr txBox="1">
          <a:spLocks noChangeArrowheads="1"/>
        </xdr:cNvSpPr>
      </xdr:nvSpPr>
      <xdr:spPr bwMode="auto">
        <a:xfrm>
          <a:off x="3619500" y="5505450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352425</xdr:colOff>
      <xdr:row>38</xdr:row>
      <xdr:rowOff>0</xdr:rowOff>
    </xdr:from>
    <xdr:to>
      <xdr:col>20</xdr:col>
      <xdr:colOff>361950</xdr:colOff>
      <xdr:row>39</xdr:row>
      <xdr:rowOff>28575</xdr:rowOff>
    </xdr:to>
    <xdr:sp macro="" textlink="">
      <xdr:nvSpPr>
        <xdr:cNvPr id="2071960" name="Text Box 199"/>
        <xdr:cNvSpPr txBox="1">
          <a:spLocks noChangeArrowheads="1"/>
        </xdr:cNvSpPr>
      </xdr:nvSpPr>
      <xdr:spPr bwMode="auto">
        <a:xfrm>
          <a:off x="3619500" y="5505450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352425</xdr:colOff>
      <xdr:row>38</xdr:row>
      <xdr:rowOff>0</xdr:rowOff>
    </xdr:from>
    <xdr:to>
      <xdr:col>20</xdr:col>
      <xdr:colOff>361950</xdr:colOff>
      <xdr:row>39</xdr:row>
      <xdr:rowOff>28575</xdr:rowOff>
    </xdr:to>
    <xdr:sp macro="" textlink="">
      <xdr:nvSpPr>
        <xdr:cNvPr id="2071961" name="Text Box 200"/>
        <xdr:cNvSpPr txBox="1">
          <a:spLocks noChangeArrowheads="1"/>
        </xdr:cNvSpPr>
      </xdr:nvSpPr>
      <xdr:spPr bwMode="auto">
        <a:xfrm>
          <a:off x="3619500" y="5505450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352425</xdr:colOff>
      <xdr:row>38</xdr:row>
      <xdr:rowOff>0</xdr:rowOff>
    </xdr:from>
    <xdr:to>
      <xdr:col>20</xdr:col>
      <xdr:colOff>361950</xdr:colOff>
      <xdr:row>39</xdr:row>
      <xdr:rowOff>28575</xdr:rowOff>
    </xdr:to>
    <xdr:sp macro="" textlink="">
      <xdr:nvSpPr>
        <xdr:cNvPr id="2071962" name="Text Box 201"/>
        <xdr:cNvSpPr txBox="1">
          <a:spLocks noChangeArrowheads="1"/>
        </xdr:cNvSpPr>
      </xdr:nvSpPr>
      <xdr:spPr bwMode="auto">
        <a:xfrm>
          <a:off x="3619500" y="5505450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352425</xdr:colOff>
      <xdr:row>38</xdr:row>
      <xdr:rowOff>0</xdr:rowOff>
    </xdr:from>
    <xdr:to>
      <xdr:col>20</xdr:col>
      <xdr:colOff>361950</xdr:colOff>
      <xdr:row>39</xdr:row>
      <xdr:rowOff>28575</xdr:rowOff>
    </xdr:to>
    <xdr:sp macro="" textlink="">
      <xdr:nvSpPr>
        <xdr:cNvPr id="2071963" name="Text Box 202"/>
        <xdr:cNvSpPr txBox="1">
          <a:spLocks noChangeArrowheads="1"/>
        </xdr:cNvSpPr>
      </xdr:nvSpPr>
      <xdr:spPr bwMode="auto">
        <a:xfrm>
          <a:off x="3619500" y="5505450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352425</xdr:colOff>
      <xdr:row>38</xdr:row>
      <xdr:rowOff>0</xdr:rowOff>
    </xdr:from>
    <xdr:to>
      <xdr:col>20</xdr:col>
      <xdr:colOff>361950</xdr:colOff>
      <xdr:row>39</xdr:row>
      <xdr:rowOff>28575</xdr:rowOff>
    </xdr:to>
    <xdr:sp macro="" textlink="">
      <xdr:nvSpPr>
        <xdr:cNvPr id="2071964" name="Text Box 203"/>
        <xdr:cNvSpPr txBox="1">
          <a:spLocks noChangeArrowheads="1"/>
        </xdr:cNvSpPr>
      </xdr:nvSpPr>
      <xdr:spPr bwMode="auto">
        <a:xfrm>
          <a:off x="3619500" y="5505450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352425</xdr:colOff>
      <xdr:row>38</xdr:row>
      <xdr:rowOff>0</xdr:rowOff>
    </xdr:from>
    <xdr:to>
      <xdr:col>20</xdr:col>
      <xdr:colOff>361950</xdr:colOff>
      <xdr:row>39</xdr:row>
      <xdr:rowOff>28575</xdr:rowOff>
    </xdr:to>
    <xdr:sp macro="" textlink="">
      <xdr:nvSpPr>
        <xdr:cNvPr id="2071965" name="Text Box 204"/>
        <xdr:cNvSpPr txBox="1">
          <a:spLocks noChangeArrowheads="1"/>
        </xdr:cNvSpPr>
      </xdr:nvSpPr>
      <xdr:spPr bwMode="auto">
        <a:xfrm>
          <a:off x="3619500" y="5505450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352425</xdr:colOff>
      <xdr:row>38</xdr:row>
      <xdr:rowOff>0</xdr:rowOff>
    </xdr:from>
    <xdr:to>
      <xdr:col>20</xdr:col>
      <xdr:colOff>361950</xdr:colOff>
      <xdr:row>39</xdr:row>
      <xdr:rowOff>28575</xdr:rowOff>
    </xdr:to>
    <xdr:sp macro="" textlink="">
      <xdr:nvSpPr>
        <xdr:cNvPr id="2071966" name="Text Box 260"/>
        <xdr:cNvSpPr txBox="1">
          <a:spLocks noChangeArrowheads="1"/>
        </xdr:cNvSpPr>
      </xdr:nvSpPr>
      <xdr:spPr bwMode="auto">
        <a:xfrm>
          <a:off x="3619500" y="5505450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352425</xdr:colOff>
      <xdr:row>38</xdr:row>
      <xdr:rowOff>0</xdr:rowOff>
    </xdr:from>
    <xdr:to>
      <xdr:col>20</xdr:col>
      <xdr:colOff>361950</xdr:colOff>
      <xdr:row>39</xdr:row>
      <xdr:rowOff>28575</xdr:rowOff>
    </xdr:to>
    <xdr:sp macro="" textlink="">
      <xdr:nvSpPr>
        <xdr:cNvPr id="2071967" name="Text Box 261"/>
        <xdr:cNvSpPr txBox="1">
          <a:spLocks noChangeArrowheads="1"/>
        </xdr:cNvSpPr>
      </xdr:nvSpPr>
      <xdr:spPr bwMode="auto">
        <a:xfrm>
          <a:off x="3619500" y="5505450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352425</xdr:colOff>
      <xdr:row>38</xdr:row>
      <xdr:rowOff>0</xdr:rowOff>
    </xdr:from>
    <xdr:to>
      <xdr:col>20</xdr:col>
      <xdr:colOff>361950</xdr:colOff>
      <xdr:row>39</xdr:row>
      <xdr:rowOff>28575</xdr:rowOff>
    </xdr:to>
    <xdr:sp macro="" textlink="">
      <xdr:nvSpPr>
        <xdr:cNvPr id="2071968" name="Text Box 971"/>
        <xdr:cNvSpPr txBox="1">
          <a:spLocks noChangeArrowheads="1"/>
        </xdr:cNvSpPr>
      </xdr:nvSpPr>
      <xdr:spPr bwMode="auto">
        <a:xfrm>
          <a:off x="3619500" y="5505450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352425</xdr:colOff>
      <xdr:row>38</xdr:row>
      <xdr:rowOff>0</xdr:rowOff>
    </xdr:from>
    <xdr:to>
      <xdr:col>20</xdr:col>
      <xdr:colOff>361950</xdr:colOff>
      <xdr:row>39</xdr:row>
      <xdr:rowOff>28575</xdr:rowOff>
    </xdr:to>
    <xdr:sp macro="" textlink="">
      <xdr:nvSpPr>
        <xdr:cNvPr id="2071969" name="Text Box 972"/>
        <xdr:cNvSpPr txBox="1">
          <a:spLocks noChangeArrowheads="1"/>
        </xdr:cNvSpPr>
      </xdr:nvSpPr>
      <xdr:spPr bwMode="auto">
        <a:xfrm>
          <a:off x="3619500" y="5505450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352425</xdr:colOff>
      <xdr:row>38</xdr:row>
      <xdr:rowOff>0</xdr:rowOff>
    </xdr:from>
    <xdr:to>
      <xdr:col>20</xdr:col>
      <xdr:colOff>361950</xdr:colOff>
      <xdr:row>39</xdr:row>
      <xdr:rowOff>28575</xdr:rowOff>
    </xdr:to>
    <xdr:sp macro="" textlink="">
      <xdr:nvSpPr>
        <xdr:cNvPr id="2071970" name="Text Box 973"/>
        <xdr:cNvSpPr txBox="1">
          <a:spLocks noChangeArrowheads="1"/>
        </xdr:cNvSpPr>
      </xdr:nvSpPr>
      <xdr:spPr bwMode="auto">
        <a:xfrm>
          <a:off x="3619500" y="5505450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352425</xdr:colOff>
      <xdr:row>38</xdr:row>
      <xdr:rowOff>0</xdr:rowOff>
    </xdr:from>
    <xdr:to>
      <xdr:col>20</xdr:col>
      <xdr:colOff>361950</xdr:colOff>
      <xdr:row>39</xdr:row>
      <xdr:rowOff>28575</xdr:rowOff>
    </xdr:to>
    <xdr:sp macro="" textlink="">
      <xdr:nvSpPr>
        <xdr:cNvPr id="2071971" name="Text Box 974"/>
        <xdr:cNvSpPr txBox="1">
          <a:spLocks noChangeArrowheads="1"/>
        </xdr:cNvSpPr>
      </xdr:nvSpPr>
      <xdr:spPr bwMode="auto">
        <a:xfrm>
          <a:off x="3619500" y="5505450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295275</xdr:colOff>
      <xdr:row>38</xdr:row>
      <xdr:rowOff>0</xdr:rowOff>
    </xdr:from>
    <xdr:to>
      <xdr:col>20</xdr:col>
      <xdr:colOff>400050</xdr:colOff>
      <xdr:row>39</xdr:row>
      <xdr:rowOff>28575</xdr:rowOff>
    </xdr:to>
    <xdr:sp macro="" textlink="">
      <xdr:nvSpPr>
        <xdr:cNvPr id="2071972" name="Text Box 168"/>
        <xdr:cNvSpPr txBox="1">
          <a:spLocks noChangeArrowheads="1"/>
        </xdr:cNvSpPr>
      </xdr:nvSpPr>
      <xdr:spPr bwMode="auto">
        <a:xfrm>
          <a:off x="3562350" y="55054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295275</xdr:colOff>
      <xdr:row>38</xdr:row>
      <xdr:rowOff>0</xdr:rowOff>
    </xdr:from>
    <xdr:to>
      <xdr:col>20</xdr:col>
      <xdr:colOff>400050</xdr:colOff>
      <xdr:row>39</xdr:row>
      <xdr:rowOff>28575</xdr:rowOff>
    </xdr:to>
    <xdr:sp macro="" textlink="">
      <xdr:nvSpPr>
        <xdr:cNvPr id="2071973" name="Text Box 169"/>
        <xdr:cNvSpPr txBox="1">
          <a:spLocks noChangeArrowheads="1"/>
        </xdr:cNvSpPr>
      </xdr:nvSpPr>
      <xdr:spPr bwMode="auto">
        <a:xfrm>
          <a:off x="3562350" y="55054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295275</xdr:colOff>
      <xdr:row>38</xdr:row>
      <xdr:rowOff>0</xdr:rowOff>
    </xdr:from>
    <xdr:to>
      <xdr:col>20</xdr:col>
      <xdr:colOff>400050</xdr:colOff>
      <xdr:row>39</xdr:row>
      <xdr:rowOff>28575</xdr:rowOff>
    </xdr:to>
    <xdr:sp macro="" textlink="">
      <xdr:nvSpPr>
        <xdr:cNvPr id="2071974" name="Text Box 170"/>
        <xdr:cNvSpPr txBox="1">
          <a:spLocks noChangeArrowheads="1"/>
        </xdr:cNvSpPr>
      </xdr:nvSpPr>
      <xdr:spPr bwMode="auto">
        <a:xfrm>
          <a:off x="3562350" y="55054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295275</xdr:colOff>
      <xdr:row>38</xdr:row>
      <xdr:rowOff>0</xdr:rowOff>
    </xdr:from>
    <xdr:to>
      <xdr:col>20</xdr:col>
      <xdr:colOff>400050</xdr:colOff>
      <xdr:row>39</xdr:row>
      <xdr:rowOff>28575</xdr:rowOff>
    </xdr:to>
    <xdr:sp macro="" textlink="">
      <xdr:nvSpPr>
        <xdr:cNvPr id="2071975" name="Text Box 171"/>
        <xdr:cNvSpPr txBox="1">
          <a:spLocks noChangeArrowheads="1"/>
        </xdr:cNvSpPr>
      </xdr:nvSpPr>
      <xdr:spPr bwMode="auto">
        <a:xfrm>
          <a:off x="3562350" y="55054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295275</xdr:colOff>
      <xdr:row>38</xdr:row>
      <xdr:rowOff>0</xdr:rowOff>
    </xdr:from>
    <xdr:to>
      <xdr:col>20</xdr:col>
      <xdr:colOff>400050</xdr:colOff>
      <xdr:row>39</xdr:row>
      <xdr:rowOff>28575</xdr:rowOff>
    </xdr:to>
    <xdr:sp macro="" textlink="">
      <xdr:nvSpPr>
        <xdr:cNvPr id="2071976" name="Text Box 172"/>
        <xdr:cNvSpPr txBox="1">
          <a:spLocks noChangeArrowheads="1"/>
        </xdr:cNvSpPr>
      </xdr:nvSpPr>
      <xdr:spPr bwMode="auto">
        <a:xfrm>
          <a:off x="3562350" y="55054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295275</xdr:colOff>
      <xdr:row>38</xdr:row>
      <xdr:rowOff>0</xdr:rowOff>
    </xdr:from>
    <xdr:to>
      <xdr:col>20</xdr:col>
      <xdr:colOff>400050</xdr:colOff>
      <xdr:row>39</xdr:row>
      <xdr:rowOff>28575</xdr:rowOff>
    </xdr:to>
    <xdr:sp macro="" textlink="">
      <xdr:nvSpPr>
        <xdr:cNvPr id="2071977" name="Text Box 173"/>
        <xdr:cNvSpPr txBox="1">
          <a:spLocks noChangeArrowheads="1"/>
        </xdr:cNvSpPr>
      </xdr:nvSpPr>
      <xdr:spPr bwMode="auto">
        <a:xfrm>
          <a:off x="3562350" y="55054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295275</xdr:colOff>
      <xdr:row>38</xdr:row>
      <xdr:rowOff>0</xdr:rowOff>
    </xdr:from>
    <xdr:to>
      <xdr:col>20</xdr:col>
      <xdr:colOff>400050</xdr:colOff>
      <xdr:row>39</xdr:row>
      <xdr:rowOff>28575</xdr:rowOff>
    </xdr:to>
    <xdr:sp macro="" textlink="">
      <xdr:nvSpPr>
        <xdr:cNvPr id="2071978" name="Text Box 174"/>
        <xdr:cNvSpPr txBox="1">
          <a:spLocks noChangeArrowheads="1"/>
        </xdr:cNvSpPr>
      </xdr:nvSpPr>
      <xdr:spPr bwMode="auto">
        <a:xfrm>
          <a:off x="3562350" y="55054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295275</xdr:colOff>
      <xdr:row>38</xdr:row>
      <xdr:rowOff>0</xdr:rowOff>
    </xdr:from>
    <xdr:to>
      <xdr:col>20</xdr:col>
      <xdr:colOff>400050</xdr:colOff>
      <xdr:row>39</xdr:row>
      <xdr:rowOff>28575</xdr:rowOff>
    </xdr:to>
    <xdr:sp macro="" textlink="">
      <xdr:nvSpPr>
        <xdr:cNvPr id="2071979" name="Text Box 175"/>
        <xdr:cNvSpPr txBox="1">
          <a:spLocks noChangeArrowheads="1"/>
        </xdr:cNvSpPr>
      </xdr:nvSpPr>
      <xdr:spPr bwMode="auto">
        <a:xfrm>
          <a:off x="3562350" y="55054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295275</xdr:colOff>
      <xdr:row>38</xdr:row>
      <xdr:rowOff>0</xdr:rowOff>
    </xdr:from>
    <xdr:to>
      <xdr:col>20</xdr:col>
      <xdr:colOff>400050</xdr:colOff>
      <xdr:row>39</xdr:row>
      <xdr:rowOff>28575</xdr:rowOff>
    </xdr:to>
    <xdr:sp macro="" textlink="">
      <xdr:nvSpPr>
        <xdr:cNvPr id="2071980" name="Text Box 198"/>
        <xdr:cNvSpPr txBox="1">
          <a:spLocks noChangeArrowheads="1"/>
        </xdr:cNvSpPr>
      </xdr:nvSpPr>
      <xdr:spPr bwMode="auto">
        <a:xfrm>
          <a:off x="3562350" y="55054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295275</xdr:colOff>
      <xdr:row>38</xdr:row>
      <xdr:rowOff>0</xdr:rowOff>
    </xdr:from>
    <xdr:to>
      <xdr:col>20</xdr:col>
      <xdr:colOff>400050</xdr:colOff>
      <xdr:row>39</xdr:row>
      <xdr:rowOff>28575</xdr:rowOff>
    </xdr:to>
    <xdr:sp macro="" textlink="">
      <xdr:nvSpPr>
        <xdr:cNvPr id="2071981" name="Text Box 199"/>
        <xdr:cNvSpPr txBox="1">
          <a:spLocks noChangeArrowheads="1"/>
        </xdr:cNvSpPr>
      </xdr:nvSpPr>
      <xdr:spPr bwMode="auto">
        <a:xfrm>
          <a:off x="3562350" y="55054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295275</xdr:colOff>
      <xdr:row>38</xdr:row>
      <xdr:rowOff>0</xdr:rowOff>
    </xdr:from>
    <xdr:to>
      <xdr:col>20</xdr:col>
      <xdr:colOff>400050</xdr:colOff>
      <xdr:row>39</xdr:row>
      <xdr:rowOff>28575</xdr:rowOff>
    </xdr:to>
    <xdr:sp macro="" textlink="">
      <xdr:nvSpPr>
        <xdr:cNvPr id="2071982" name="Text Box 200"/>
        <xdr:cNvSpPr txBox="1">
          <a:spLocks noChangeArrowheads="1"/>
        </xdr:cNvSpPr>
      </xdr:nvSpPr>
      <xdr:spPr bwMode="auto">
        <a:xfrm>
          <a:off x="3562350" y="55054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295275</xdr:colOff>
      <xdr:row>38</xdr:row>
      <xdr:rowOff>0</xdr:rowOff>
    </xdr:from>
    <xdr:to>
      <xdr:col>20</xdr:col>
      <xdr:colOff>400050</xdr:colOff>
      <xdr:row>39</xdr:row>
      <xdr:rowOff>28575</xdr:rowOff>
    </xdr:to>
    <xdr:sp macro="" textlink="">
      <xdr:nvSpPr>
        <xdr:cNvPr id="2071983" name="Text Box 201"/>
        <xdr:cNvSpPr txBox="1">
          <a:spLocks noChangeArrowheads="1"/>
        </xdr:cNvSpPr>
      </xdr:nvSpPr>
      <xdr:spPr bwMode="auto">
        <a:xfrm>
          <a:off x="3562350" y="55054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295275</xdr:colOff>
      <xdr:row>38</xdr:row>
      <xdr:rowOff>0</xdr:rowOff>
    </xdr:from>
    <xdr:to>
      <xdr:col>20</xdr:col>
      <xdr:colOff>400050</xdr:colOff>
      <xdr:row>39</xdr:row>
      <xdr:rowOff>28575</xdr:rowOff>
    </xdr:to>
    <xdr:sp macro="" textlink="">
      <xdr:nvSpPr>
        <xdr:cNvPr id="2071984" name="Text Box 202"/>
        <xdr:cNvSpPr txBox="1">
          <a:spLocks noChangeArrowheads="1"/>
        </xdr:cNvSpPr>
      </xdr:nvSpPr>
      <xdr:spPr bwMode="auto">
        <a:xfrm>
          <a:off x="3562350" y="55054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295275</xdr:colOff>
      <xdr:row>38</xdr:row>
      <xdr:rowOff>0</xdr:rowOff>
    </xdr:from>
    <xdr:to>
      <xdr:col>20</xdr:col>
      <xdr:colOff>400050</xdr:colOff>
      <xdr:row>39</xdr:row>
      <xdr:rowOff>28575</xdr:rowOff>
    </xdr:to>
    <xdr:sp macro="" textlink="">
      <xdr:nvSpPr>
        <xdr:cNvPr id="2071985" name="Text Box 203"/>
        <xdr:cNvSpPr txBox="1">
          <a:spLocks noChangeArrowheads="1"/>
        </xdr:cNvSpPr>
      </xdr:nvSpPr>
      <xdr:spPr bwMode="auto">
        <a:xfrm>
          <a:off x="3562350" y="55054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295275</xdr:colOff>
      <xdr:row>38</xdr:row>
      <xdr:rowOff>0</xdr:rowOff>
    </xdr:from>
    <xdr:to>
      <xdr:col>20</xdr:col>
      <xdr:colOff>400050</xdr:colOff>
      <xdr:row>39</xdr:row>
      <xdr:rowOff>28575</xdr:rowOff>
    </xdr:to>
    <xdr:sp macro="" textlink="">
      <xdr:nvSpPr>
        <xdr:cNvPr id="2071986" name="Text Box 204"/>
        <xdr:cNvSpPr txBox="1">
          <a:spLocks noChangeArrowheads="1"/>
        </xdr:cNvSpPr>
      </xdr:nvSpPr>
      <xdr:spPr bwMode="auto">
        <a:xfrm>
          <a:off x="3562350" y="55054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295275</xdr:colOff>
      <xdr:row>38</xdr:row>
      <xdr:rowOff>0</xdr:rowOff>
    </xdr:from>
    <xdr:to>
      <xdr:col>20</xdr:col>
      <xdr:colOff>400050</xdr:colOff>
      <xdr:row>39</xdr:row>
      <xdr:rowOff>28575</xdr:rowOff>
    </xdr:to>
    <xdr:sp macro="" textlink="">
      <xdr:nvSpPr>
        <xdr:cNvPr id="2071987" name="Text Box 260"/>
        <xdr:cNvSpPr txBox="1">
          <a:spLocks noChangeArrowheads="1"/>
        </xdr:cNvSpPr>
      </xdr:nvSpPr>
      <xdr:spPr bwMode="auto">
        <a:xfrm>
          <a:off x="3562350" y="55054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295275</xdr:colOff>
      <xdr:row>38</xdr:row>
      <xdr:rowOff>0</xdr:rowOff>
    </xdr:from>
    <xdr:to>
      <xdr:col>20</xdr:col>
      <xdr:colOff>400050</xdr:colOff>
      <xdr:row>39</xdr:row>
      <xdr:rowOff>28575</xdr:rowOff>
    </xdr:to>
    <xdr:sp macro="" textlink="">
      <xdr:nvSpPr>
        <xdr:cNvPr id="2071988" name="Text Box 261"/>
        <xdr:cNvSpPr txBox="1">
          <a:spLocks noChangeArrowheads="1"/>
        </xdr:cNvSpPr>
      </xdr:nvSpPr>
      <xdr:spPr bwMode="auto">
        <a:xfrm>
          <a:off x="3562350" y="55054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295275</xdr:colOff>
      <xdr:row>38</xdr:row>
      <xdr:rowOff>0</xdr:rowOff>
    </xdr:from>
    <xdr:to>
      <xdr:col>20</xdr:col>
      <xdr:colOff>400050</xdr:colOff>
      <xdr:row>39</xdr:row>
      <xdr:rowOff>28575</xdr:rowOff>
    </xdr:to>
    <xdr:sp macro="" textlink="">
      <xdr:nvSpPr>
        <xdr:cNvPr id="2071989" name="Text Box 971"/>
        <xdr:cNvSpPr txBox="1">
          <a:spLocks noChangeArrowheads="1"/>
        </xdr:cNvSpPr>
      </xdr:nvSpPr>
      <xdr:spPr bwMode="auto">
        <a:xfrm>
          <a:off x="3562350" y="55054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295275</xdr:colOff>
      <xdr:row>38</xdr:row>
      <xdr:rowOff>0</xdr:rowOff>
    </xdr:from>
    <xdr:to>
      <xdr:col>20</xdr:col>
      <xdr:colOff>400050</xdr:colOff>
      <xdr:row>39</xdr:row>
      <xdr:rowOff>28575</xdr:rowOff>
    </xdr:to>
    <xdr:sp macro="" textlink="">
      <xdr:nvSpPr>
        <xdr:cNvPr id="2071990" name="Text Box 972"/>
        <xdr:cNvSpPr txBox="1">
          <a:spLocks noChangeArrowheads="1"/>
        </xdr:cNvSpPr>
      </xdr:nvSpPr>
      <xdr:spPr bwMode="auto">
        <a:xfrm>
          <a:off x="3562350" y="55054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295275</xdr:colOff>
      <xdr:row>38</xdr:row>
      <xdr:rowOff>0</xdr:rowOff>
    </xdr:from>
    <xdr:to>
      <xdr:col>20</xdr:col>
      <xdr:colOff>400050</xdr:colOff>
      <xdr:row>39</xdr:row>
      <xdr:rowOff>28575</xdr:rowOff>
    </xdr:to>
    <xdr:sp macro="" textlink="">
      <xdr:nvSpPr>
        <xdr:cNvPr id="2071991" name="Text Box 973"/>
        <xdr:cNvSpPr txBox="1">
          <a:spLocks noChangeArrowheads="1"/>
        </xdr:cNvSpPr>
      </xdr:nvSpPr>
      <xdr:spPr bwMode="auto">
        <a:xfrm>
          <a:off x="3562350" y="55054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295275</xdr:colOff>
      <xdr:row>38</xdr:row>
      <xdr:rowOff>0</xdr:rowOff>
    </xdr:from>
    <xdr:to>
      <xdr:col>20</xdr:col>
      <xdr:colOff>400050</xdr:colOff>
      <xdr:row>39</xdr:row>
      <xdr:rowOff>28575</xdr:rowOff>
    </xdr:to>
    <xdr:sp macro="" textlink="">
      <xdr:nvSpPr>
        <xdr:cNvPr id="2071992" name="Text Box 974"/>
        <xdr:cNvSpPr txBox="1">
          <a:spLocks noChangeArrowheads="1"/>
        </xdr:cNvSpPr>
      </xdr:nvSpPr>
      <xdr:spPr bwMode="auto">
        <a:xfrm>
          <a:off x="3562350" y="55054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1981200</xdr:colOff>
      <xdr:row>4</xdr:row>
      <xdr:rowOff>66675</xdr:rowOff>
    </xdr:from>
    <xdr:to>
      <xdr:col>3</xdr:col>
      <xdr:colOff>2162175</xdr:colOff>
      <xdr:row>5</xdr:row>
      <xdr:rowOff>76200</xdr:rowOff>
    </xdr:to>
    <xdr:sp macro="" textlink="">
      <xdr:nvSpPr>
        <xdr:cNvPr id="2047772" name="Text Box 2"/>
        <xdr:cNvSpPr txBox="1">
          <a:spLocks noChangeArrowheads="1"/>
        </xdr:cNvSpPr>
      </xdr:nvSpPr>
      <xdr:spPr bwMode="auto">
        <a:xfrm flipH="1">
          <a:off x="2867025" y="7143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1981200</xdr:colOff>
      <xdr:row>4</xdr:row>
      <xdr:rowOff>66675</xdr:rowOff>
    </xdr:from>
    <xdr:to>
      <xdr:col>3</xdr:col>
      <xdr:colOff>2162175</xdr:colOff>
      <xdr:row>5</xdr:row>
      <xdr:rowOff>76200</xdr:rowOff>
    </xdr:to>
    <xdr:sp macro="" textlink="">
      <xdr:nvSpPr>
        <xdr:cNvPr id="2047773" name="Text Box 184"/>
        <xdr:cNvSpPr txBox="1">
          <a:spLocks noChangeArrowheads="1"/>
        </xdr:cNvSpPr>
      </xdr:nvSpPr>
      <xdr:spPr bwMode="auto">
        <a:xfrm flipH="1">
          <a:off x="2867025" y="7143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1981200</xdr:colOff>
      <xdr:row>4</xdr:row>
      <xdr:rowOff>66675</xdr:rowOff>
    </xdr:from>
    <xdr:to>
      <xdr:col>3</xdr:col>
      <xdr:colOff>2162175</xdr:colOff>
      <xdr:row>5</xdr:row>
      <xdr:rowOff>76200</xdr:rowOff>
    </xdr:to>
    <xdr:sp macro="" textlink="">
      <xdr:nvSpPr>
        <xdr:cNvPr id="2047774" name="Text Box 2"/>
        <xdr:cNvSpPr txBox="1">
          <a:spLocks noChangeArrowheads="1"/>
        </xdr:cNvSpPr>
      </xdr:nvSpPr>
      <xdr:spPr bwMode="auto">
        <a:xfrm flipH="1">
          <a:off x="2867025" y="7143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1981200</xdr:colOff>
      <xdr:row>4</xdr:row>
      <xdr:rowOff>66675</xdr:rowOff>
    </xdr:from>
    <xdr:to>
      <xdr:col>3</xdr:col>
      <xdr:colOff>2162175</xdr:colOff>
      <xdr:row>5</xdr:row>
      <xdr:rowOff>76200</xdr:rowOff>
    </xdr:to>
    <xdr:sp macro="" textlink="">
      <xdr:nvSpPr>
        <xdr:cNvPr id="2047775" name="Text Box 184"/>
        <xdr:cNvSpPr txBox="1">
          <a:spLocks noChangeArrowheads="1"/>
        </xdr:cNvSpPr>
      </xdr:nvSpPr>
      <xdr:spPr bwMode="auto">
        <a:xfrm flipH="1">
          <a:off x="2867025" y="7143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1981200</xdr:colOff>
      <xdr:row>4</xdr:row>
      <xdr:rowOff>66675</xdr:rowOff>
    </xdr:from>
    <xdr:to>
      <xdr:col>3</xdr:col>
      <xdr:colOff>2162175</xdr:colOff>
      <xdr:row>5</xdr:row>
      <xdr:rowOff>76200</xdr:rowOff>
    </xdr:to>
    <xdr:sp macro="" textlink="">
      <xdr:nvSpPr>
        <xdr:cNvPr id="2047776" name="Text Box 2"/>
        <xdr:cNvSpPr txBox="1">
          <a:spLocks noChangeArrowheads="1"/>
        </xdr:cNvSpPr>
      </xdr:nvSpPr>
      <xdr:spPr bwMode="auto">
        <a:xfrm flipH="1">
          <a:off x="2867025" y="7143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1981200</xdr:colOff>
      <xdr:row>4</xdr:row>
      <xdr:rowOff>66675</xdr:rowOff>
    </xdr:from>
    <xdr:to>
      <xdr:col>3</xdr:col>
      <xdr:colOff>2162175</xdr:colOff>
      <xdr:row>5</xdr:row>
      <xdr:rowOff>76200</xdr:rowOff>
    </xdr:to>
    <xdr:sp macro="" textlink="">
      <xdr:nvSpPr>
        <xdr:cNvPr id="2047777" name="Text Box 184"/>
        <xdr:cNvSpPr txBox="1">
          <a:spLocks noChangeArrowheads="1"/>
        </xdr:cNvSpPr>
      </xdr:nvSpPr>
      <xdr:spPr bwMode="auto">
        <a:xfrm flipH="1">
          <a:off x="2867025" y="7143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1981200</xdr:colOff>
      <xdr:row>4</xdr:row>
      <xdr:rowOff>66675</xdr:rowOff>
    </xdr:from>
    <xdr:to>
      <xdr:col>3</xdr:col>
      <xdr:colOff>2162175</xdr:colOff>
      <xdr:row>5</xdr:row>
      <xdr:rowOff>76200</xdr:rowOff>
    </xdr:to>
    <xdr:sp macro="" textlink="">
      <xdr:nvSpPr>
        <xdr:cNvPr id="2047778" name="Text Box 2"/>
        <xdr:cNvSpPr txBox="1">
          <a:spLocks noChangeArrowheads="1"/>
        </xdr:cNvSpPr>
      </xdr:nvSpPr>
      <xdr:spPr bwMode="auto">
        <a:xfrm flipH="1">
          <a:off x="2867025" y="7143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1981200</xdr:colOff>
      <xdr:row>4</xdr:row>
      <xdr:rowOff>66675</xdr:rowOff>
    </xdr:from>
    <xdr:to>
      <xdr:col>3</xdr:col>
      <xdr:colOff>2162175</xdr:colOff>
      <xdr:row>5</xdr:row>
      <xdr:rowOff>76200</xdr:rowOff>
    </xdr:to>
    <xdr:sp macro="" textlink="">
      <xdr:nvSpPr>
        <xdr:cNvPr id="2047779" name="Text Box 184"/>
        <xdr:cNvSpPr txBox="1">
          <a:spLocks noChangeArrowheads="1"/>
        </xdr:cNvSpPr>
      </xdr:nvSpPr>
      <xdr:spPr bwMode="auto">
        <a:xfrm flipH="1">
          <a:off x="2867025" y="7143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1981200</xdr:colOff>
      <xdr:row>4</xdr:row>
      <xdr:rowOff>66675</xdr:rowOff>
    </xdr:from>
    <xdr:to>
      <xdr:col>3</xdr:col>
      <xdr:colOff>2162175</xdr:colOff>
      <xdr:row>5</xdr:row>
      <xdr:rowOff>76200</xdr:rowOff>
    </xdr:to>
    <xdr:sp macro="" textlink="">
      <xdr:nvSpPr>
        <xdr:cNvPr id="2047780" name="Text Box 2"/>
        <xdr:cNvSpPr txBox="1">
          <a:spLocks noChangeArrowheads="1"/>
        </xdr:cNvSpPr>
      </xdr:nvSpPr>
      <xdr:spPr bwMode="auto">
        <a:xfrm flipH="1">
          <a:off x="2867025" y="7143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1981200</xdr:colOff>
      <xdr:row>4</xdr:row>
      <xdr:rowOff>66675</xdr:rowOff>
    </xdr:from>
    <xdr:to>
      <xdr:col>3</xdr:col>
      <xdr:colOff>2162175</xdr:colOff>
      <xdr:row>5</xdr:row>
      <xdr:rowOff>76200</xdr:rowOff>
    </xdr:to>
    <xdr:sp macro="" textlink="">
      <xdr:nvSpPr>
        <xdr:cNvPr id="2047781" name="Text Box 184"/>
        <xdr:cNvSpPr txBox="1">
          <a:spLocks noChangeArrowheads="1"/>
        </xdr:cNvSpPr>
      </xdr:nvSpPr>
      <xdr:spPr bwMode="auto">
        <a:xfrm flipH="1">
          <a:off x="2867025" y="7143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1981200</xdr:colOff>
      <xdr:row>4</xdr:row>
      <xdr:rowOff>66675</xdr:rowOff>
    </xdr:from>
    <xdr:to>
      <xdr:col>3</xdr:col>
      <xdr:colOff>2162175</xdr:colOff>
      <xdr:row>5</xdr:row>
      <xdr:rowOff>76200</xdr:rowOff>
    </xdr:to>
    <xdr:sp macro="" textlink="">
      <xdr:nvSpPr>
        <xdr:cNvPr id="2047782" name="Text Box 2"/>
        <xdr:cNvSpPr txBox="1">
          <a:spLocks noChangeArrowheads="1"/>
        </xdr:cNvSpPr>
      </xdr:nvSpPr>
      <xdr:spPr bwMode="auto">
        <a:xfrm flipH="1">
          <a:off x="2867025" y="7143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1981200</xdr:colOff>
      <xdr:row>4</xdr:row>
      <xdr:rowOff>66675</xdr:rowOff>
    </xdr:from>
    <xdr:to>
      <xdr:col>3</xdr:col>
      <xdr:colOff>2162175</xdr:colOff>
      <xdr:row>5</xdr:row>
      <xdr:rowOff>76200</xdr:rowOff>
    </xdr:to>
    <xdr:sp macro="" textlink="">
      <xdr:nvSpPr>
        <xdr:cNvPr id="2047783" name="Text Box 184"/>
        <xdr:cNvSpPr txBox="1">
          <a:spLocks noChangeArrowheads="1"/>
        </xdr:cNvSpPr>
      </xdr:nvSpPr>
      <xdr:spPr bwMode="auto">
        <a:xfrm flipH="1">
          <a:off x="2867025" y="7143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1981200</xdr:colOff>
      <xdr:row>4</xdr:row>
      <xdr:rowOff>66675</xdr:rowOff>
    </xdr:from>
    <xdr:to>
      <xdr:col>3</xdr:col>
      <xdr:colOff>2162175</xdr:colOff>
      <xdr:row>5</xdr:row>
      <xdr:rowOff>76200</xdr:rowOff>
    </xdr:to>
    <xdr:sp macro="" textlink="">
      <xdr:nvSpPr>
        <xdr:cNvPr id="2047784" name="Text Box 2"/>
        <xdr:cNvSpPr txBox="1">
          <a:spLocks noChangeArrowheads="1"/>
        </xdr:cNvSpPr>
      </xdr:nvSpPr>
      <xdr:spPr bwMode="auto">
        <a:xfrm flipH="1">
          <a:off x="2867025" y="7143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1981200</xdr:colOff>
      <xdr:row>4</xdr:row>
      <xdr:rowOff>66675</xdr:rowOff>
    </xdr:from>
    <xdr:to>
      <xdr:col>3</xdr:col>
      <xdr:colOff>2162175</xdr:colOff>
      <xdr:row>5</xdr:row>
      <xdr:rowOff>76200</xdr:rowOff>
    </xdr:to>
    <xdr:sp macro="" textlink="">
      <xdr:nvSpPr>
        <xdr:cNvPr id="2047785" name="Text Box 184"/>
        <xdr:cNvSpPr txBox="1">
          <a:spLocks noChangeArrowheads="1"/>
        </xdr:cNvSpPr>
      </xdr:nvSpPr>
      <xdr:spPr bwMode="auto">
        <a:xfrm flipH="1">
          <a:off x="2867025" y="7143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1981200</xdr:colOff>
      <xdr:row>4</xdr:row>
      <xdr:rowOff>66675</xdr:rowOff>
    </xdr:from>
    <xdr:to>
      <xdr:col>3</xdr:col>
      <xdr:colOff>2162175</xdr:colOff>
      <xdr:row>5</xdr:row>
      <xdr:rowOff>76200</xdr:rowOff>
    </xdr:to>
    <xdr:sp macro="" textlink="">
      <xdr:nvSpPr>
        <xdr:cNvPr id="2047786" name="Text Box 2"/>
        <xdr:cNvSpPr txBox="1">
          <a:spLocks noChangeArrowheads="1"/>
        </xdr:cNvSpPr>
      </xdr:nvSpPr>
      <xdr:spPr bwMode="auto">
        <a:xfrm flipH="1">
          <a:off x="2867025" y="7143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1981200</xdr:colOff>
      <xdr:row>4</xdr:row>
      <xdr:rowOff>66675</xdr:rowOff>
    </xdr:from>
    <xdr:to>
      <xdr:col>3</xdr:col>
      <xdr:colOff>2162175</xdr:colOff>
      <xdr:row>5</xdr:row>
      <xdr:rowOff>76200</xdr:rowOff>
    </xdr:to>
    <xdr:sp macro="" textlink="">
      <xdr:nvSpPr>
        <xdr:cNvPr id="2047787" name="Text Box 184"/>
        <xdr:cNvSpPr txBox="1">
          <a:spLocks noChangeArrowheads="1"/>
        </xdr:cNvSpPr>
      </xdr:nvSpPr>
      <xdr:spPr bwMode="auto">
        <a:xfrm flipH="1">
          <a:off x="2867025" y="7143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1981200</xdr:colOff>
      <xdr:row>4</xdr:row>
      <xdr:rowOff>66675</xdr:rowOff>
    </xdr:from>
    <xdr:to>
      <xdr:col>3</xdr:col>
      <xdr:colOff>2162175</xdr:colOff>
      <xdr:row>5</xdr:row>
      <xdr:rowOff>76200</xdr:rowOff>
    </xdr:to>
    <xdr:sp macro="" textlink="">
      <xdr:nvSpPr>
        <xdr:cNvPr id="2047788" name="Text Box 2"/>
        <xdr:cNvSpPr txBox="1">
          <a:spLocks noChangeArrowheads="1"/>
        </xdr:cNvSpPr>
      </xdr:nvSpPr>
      <xdr:spPr bwMode="auto">
        <a:xfrm flipH="1">
          <a:off x="2867025" y="7143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1981200</xdr:colOff>
      <xdr:row>4</xdr:row>
      <xdr:rowOff>66675</xdr:rowOff>
    </xdr:from>
    <xdr:to>
      <xdr:col>3</xdr:col>
      <xdr:colOff>2162175</xdr:colOff>
      <xdr:row>5</xdr:row>
      <xdr:rowOff>76200</xdr:rowOff>
    </xdr:to>
    <xdr:sp macro="" textlink="">
      <xdr:nvSpPr>
        <xdr:cNvPr id="2047789" name="Text Box 184"/>
        <xdr:cNvSpPr txBox="1">
          <a:spLocks noChangeArrowheads="1"/>
        </xdr:cNvSpPr>
      </xdr:nvSpPr>
      <xdr:spPr bwMode="auto">
        <a:xfrm flipH="1">
          <a:off x="2867025" y="7143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1981200</xdr:colOff>
      <xdr:row>4</xdr:row>
      <xdr:rowOff>66675</xdr:rowOff>
    </xdr:from>
    <xdr:to>
      <xdr:col>3</xdr:col>
      <xdr:colOff>2162175</xdr:colOff>
      <xdr:row>5</xdr:row>
      <xdr:rowOff>76200</xdr:rowOff>
    </xdr:to>
    <xdr:sp macro="" textlink="">
      <xdr:nvSpPr>
        <xdr:cNvPr id="2047790" name="Text Box 2"/>
        <xdr:cNvSpPr txBox="1">
          <a:spLocks noChangeArrowheads="1"/>
        </xdr:cNvSpPr>
      </xdr:nvSpPr>
      <xdr:spPr bwMode="auto">
        <a:xfrm flipH="1">
          <a:off x="2867025" y="7143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1981200</xdr:colOff>
      <xdr:row>4</xdr:row>
      <xdr:rowOff>66675</xdr:rowOff>
    </xdr:from>
    <xdr:to>
      <xdr:col>3</xdr:col>
      <xdr:colOff>2162175</xdr:colOff>
      <xdr:row>5</xdr:row>
      <xdr:rowOff>76200</xdr:rowOff>
    </xdr:to>
    <xdr:sp macro="" textlink="">
      <xdr:nvSpPr>
        <xdr:cNvPr id="2047791" name="Text Box 184"/>
        <xdr:cNvSpPr txBox="1">
          <a:spLocks noChangeArrowheads="1"/>
        </xdr:cNvSpPr>
      </xdr:nvSpPr>
      <xdr:spPr bwMode="auto">
        <a:xfrm flipH="1">
          <a:off x="2867025" y="7143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1981200</xdr:colOff>
      <xdr:row>4</xdr:row>
      <xdr:rowOff>66675</xdr:rowOff>
    </xdr:from>
    <xdr:to>
      <xdr:col>3</xdr:col>
      <xdr:colOff>2162175</xdr:colOff>
      <xdr:row>5</xdr:row>
      <xdr:rowOff>76200</xdr:rowOff>
    </xdr:to>
    <xdr:sp macro="" textlink="">
      <xdr:nvSpPr>
        <xdr:cNvPr id="2047792" name="Text Box 2"/>
        <xdr:cNvSpPr txBox="1">
          <a:spLocks noChangeArrowheads="1"/>
        </xdr:cNvSpPr>
      </xdr:nvSpPr>
      <xdr:spPr bwMode="auto">
        <a:xfrm flipH="1">
          <a:off x="2867025" y="7143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1981200</xdr:colOff>
      <xdr:row>4</xdr:row>
      <xdr:rowOff>66675</xdr:rowOff>
    </xdr:from>
    <xdr:to>
      <xdr:col>3</xdr:col>
      <xdr:colOff>2162175</xdr:colOff>
      <xdr:row>5</xdr:row>
      <xdr:rowOff>76200</xdr:rowOff>
    </xdr:to>
    <xdr:sp macro="" textlink="">
      <xdr:nvSpPr>
        <xdr:cNvPr id="2047793" name="Text Box 184"/>
        <xdr:cNvSpPr txBox="1">
          <a:spLocks noChangeArrowheads="1"/>
        </xdr:cNvSpPr>
      </xdr:nvSpPr>
      <xdr:spPr bwMode="auto">
        <a:xfrm flipH="1">
          <a:off x="2867025" y="7143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1981200</xdr:colOff>
      <xdr:row>4</xdr:row>
      <xdr:rowOff>66675</xdr:rowOff>
    </xdr:from>
    <xdr:to>
      <xdr:col>3</xdr:col>
      <xdr:colOff>2162175</xdr:colOff>
      <xdr:row>5</xdr:row>
      <xdr:rowOff>76200</xdr:rowOff>
    </xdr:to>
    <xdr:sp macro="" textlink="">
      <xdr:nvSpPr>
        <xdr:cNvPr id="2047794" name="Text Box 2"/>
        <xdr:cNvSpPr txBox="1">
          <a:spLocks noChangeArrowheads="1"/>
        </xdr:cNvSpPr>
      </xdr:nvSpPr>
      <xdr:spPr bwMode="auto">
        <a:xfrm flipH="1">
          <a:off x="2867025" y="7143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1981200</xdr:colOff>
      <xdr:row>4</xdr:row>
      <xdr:rowOff>66675</xdr:rowOff>
    </xdr:from>
    <xdr:to>
      <xdr:col>3</xdr:col>
      <xdr:colOff>2162175</xdr:colOff>
      <xdr:row>5</xdr:row>
      <xdr:rowOff>76200</xdr:rowOff>
    </xdr:to>
    <xdr:sp macro="" textlink="">
      <xdr:nvSpPr>
        <xdr:cNvPr id="2047795" name="Text Box 184"/>
        <xdr:cNvSpPr txBox="1">
          <a:spLocks noChangeArrowheads="1"/>
        </xdr:cNvSpPr>
      </xdr:nvSpPr>
      <xdr:spPr bwMode="auto">
        <a:xfrm flipH="1">
          <a:off x="2867025" y="7143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1981200</xdr:colOff>
      <xdr:row>4</xdr:row>
      <xdr:rowOff>66675</xdr:rowOff>
    </xdr:from>
    <xdr:to>
      <xdr:col>3</xdr:col>
      <xdr:colOff>2162175</xdr:colOff>
      <xdr:row>5</xdr:row>
      <xdr:rowOff>76200</xdr:rowOff>
    </xdr:to>
    <xdr:sp macro="" textlink="">
      <xdr:nvSpPr>
        <xdr:cNvPr id="2047796" name="Text Box 2"/>
        <xdr:cNvSpPr txBox="1">
          <a:spLocks noChangeArrowheads="1"/>
        </xdr:cNvSpPr>
      </xdr:nvSpPr>
      <xdr:spPr bwMode="auto">
        <a:xfrm flipH="1">
          <a:off x="2867025" y="7143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1981200</xdr:colOff>
      <xdr:row>4</xdr:row>
      <xdr:rowOff>66675</xdr:rowOff>
    </xdr:from>
    <xdr:to>
      <xdr:col>3</xdr:col>
      <xdr:colOff>2162175</xdr:colOff>
      <xdr:row>5</xdr:row>
      <xdr:rowOff>76200</xdr:rowOff>
    </xdr:to>
    <xdr:sp macro="" textlink="">
      <xdr:nvSpPr>
        <xdr:cNvPr id="2047797" name="Text Box 184"/>
        <xdr:cNvSpPr txBox="1">
          <a:spLocks noChangeArrowheads="1"/>
        </xdr:cNvSpPr>
      </xdr:nvSpPr>
      <xdr:spPr bwMode="auto">
        <a:xfrm flipH="1">
          <a:off x="2867025" y="7143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1981200</xdr:colOff>
      <xdr:row>4</xdr:row>
      <xdr:rowOff>66675</xdr:rowOff>
    </xdr:from>
    <xdr:to>
      <xdr:col>3</xdr:col>
      <xdr:colOff>2162175</xdr:colOff>
      <xdr:row>5</xdr:row>
      <xdr:rowOff>76200</xdr:rowOff>
    </xdr:to>
    <xdr:sp macro="" textlink="">
      <xdr:nvSpPr>
        <xdr:cNvPr id="2047798" name="Text Box 2"/>
        <xdr:cNvSpPr txBox="1">
          <a:spLocks noChangeArrowheads="1"/>
        </xdr:cNvSpPr>
      </xdr:nvSpPr>
      <xdr:spPr bwMode="auto">
        <a:xfrm flipH="1">
          <a:off x="2867025" y="7143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1981200</xdr:colOff>
      <xdr:row>4</xdr:row>
      <xdr:rowOff>66675</xdr:rowOff>
    </xdr:from>
    <xdr:to>
      <xdr:col>3</xdr:col>
      <xdr:colOff>2162175</xdr:colOff>
      <xdr:row>5</xdr:row>
      <xdr:rowOff>76200</xdr:rowOff>
    </xdr:to>
    <xdr:sp macro="" textlink="">
      <xdr:nvSpPr>
        <xdr:cNvPr id="2047799" name="Text Box 184"/>
        <xdr:cNvSpPr txBox="1">
          <a:spLocks noChangeArrowheads="1"/>
        </xdr:cNvSpPr>
      </xdr:nvSpPr>
      <xdr:spPr bwMode="auto">
        <a:xfrm flipH="1">
          <a:off x="2867025" y="7143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1981200</xdr:colOff>
      <xdr:row>4</xdr:row>
      <xdr:rowOff>66675</xdr:rowOff>
    </xdr:from>
    <xdr:to>
      <xdr:col>3</xdr:col>
      <xdr:colOff>2162175</xdr:colOff>
      <xdr:row>5</xdr:row>
      <xdr:rowOff>76200</xdr:rowOff>
    </xdr:to>
    <xdr:sp macro="" textlink="">
      <xdr:nvSpPr>
        <xdr:cNvPr id="2047800" name="Text Box 2"/>
        <xdr:cNvSpPr txBox="1">
          <a:spLocks noChangeArrowheads="1"/>
        </xdr:cNvSpPr>
      </xdr:nvSpPr>
      <xdr:spPr bwMode="auto">
        <a:xfrm flipH="1">
          <a:off x="2867025" y="7143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1981200</xdr:colOff>
      <xdr:row>4</xdr:row>
      <xdr:rowOff>66675</xdr:rowOff>
    </xdr:from>
    <xdr:to>
      <xdr:col>3</xdr:col>
      <xdr:colOff>2162175</xdr:colOff>
      <xdr:row>5</xdr:row>
      <xdr:rowOff>76200</xdr:rowOff>
    </xdr:to>
    <xdr:sp macro="" textlink="">
      <xdr:nvSpPr>
        <xdr:cNvPr id="2047801" name="Text Box 184"/>
        <xdr:cNvSpPr txBox="1">
          <a:spLocks noChangeArrowheads="1"/>
        </xdr:cNvSpPr>
      </xdr:nvSpPr>
      <xdr:spPr bwMode="auto">
        <a:xfrm flipH="1">
          <a:off x="2867025" y="7143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1981200</xdr:colOff>
      <xdr:row>4</xdr:row>
      <xdr:rowOff>66675</xdr:rowOff>
    </xdr:from>
    <xdr:to>
      <xdr:col>3</xdr:col>
      <xdr:colOff>2162175</xdr:colOff>
      <xdr:row>5</xdr:row>
      <xdr:rowOff>76200</xdr:rowOff>
    </xdr:to>
    <xdr:sp macro="" textlink="">
      <xdr:nvSpPr>
        <xdr:cNvPr id="2047802" name="Text Box 2"/>
        <xdr:cNvSpPr txBox="1">
          <a:spLocks noChangeArrowheads="1"/>
        </xdr:cNvSpPr>
      </xdr:nvSpPr>
      <xdr:spPr bwMode="auto">
        <a:xfrm flipH="1">
          <a:off x="2867025" y="7143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1981200</xdr:colOff>
      <xdr:row>4</xdr:row>
      <xdr:rowOff>66675</xdr:rowOff>
    </xdr:from>
    <xdr:to>
      <xdr:col>3</xdr:col>
      <xdr:colOff>2162175</xdr:colOff>
      <xdr:row>5</xdr:row>
      <xdr:rowOff>76200</xdr:rowOff>
    </xdr:to>
    <xdr:sp macro="" textlink="">
      <xdr:nvSpPr>
        <xdr:cNvPr id="2047803" name="Text Box 184"/>
        <xdr:cNvSpPr txBox="1">
          <a:spLocks noChangeArrowheads="1"/>
        </xdr:cNvSpPr>
      </xdr:nvSpPr>
      <xdr:spPr bwMode="auto">
        <a:xfrm flipH="1">
          <a:off x="2867025" y="7143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1981200</xdr:colOff>
      <xdr:row>4</xdr:row>
      <xdr:rowOff>66675</xdr:rowOff>
    </xdr:from>
    <xdr:to>
      <xdr:col>3</xdr:col>
      <xdr:colOff>2162175</xdr:colOff>
      <xdr:row>5</xdr:row>
      <xdr:rowOff>76200</xdr:rowOff>
    </xdr:to>
    <xdr:sp macro="" textlink="">
      <xdr:nvSpPr>
        <xdr:cNvPr id="2047804" name="Text Box 2"/>
        <xdr:cNvSpPr txBox="1">
          <a:spLocks noChangeArrowheads="1"/>
        </xdr:cNvSpPr>
      </xdr:nvSpPr>
      <xdr:spPr bwMode="auto">
        <a:xfrm flipH="1">
          <a:off x="2867025" y="7143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1981200</xdr:colOff>
      <xdr:row>4</xdr:row>
      <xdr:rowOff>66675</xdr:rowOff>
    </xdr:from>
    <xdr:to>
      <xdr:col>3</xdr:col>
      <xdr:colOff>2162175</xdr:colOff>
      <xdr:row>5</xdr:row>
      <xdr:rowOff>76200</xdr:rowOff>
    </xdr:to>
    <xdr:sp macro="" textlink="">
      <xdr:nvSpPr>
        <xdr:cNvPr id="2047805" name="Text Box 184"/>
        <xdr:cNvSpPr txBox="1">
          <a:spLocks noChangeArrowheads="1"/>
        </xdr:cNvSpPr>
      </xdr:nvSpPr>
      <xdr:spPr bwMode="auto">
        <a:xfrm flipH="1">
          <a:off x="2867025" y="7143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1981200</xdr:colOff>
      <xdr:row>4</xdr:row>
      <xdr:rowOff>66675</xdr:rowOff>
    </xdr:from>
    <xdr:to>
      <xdr:col>3</xdr:col>
      <xdr:colOff>2162175</xdr:colOff>
      <xdr:row>5</xdr:row>
      <xdr:rowOff>76200</xdr:rowOff>
    </xdr:to>
    <xdr:sp macro="" textlink="">
      <xdr:nvSpPr>
        <xdr:cNvPr id="2047806" name="Text Box 2"/>
        <xdr:cNvSpPr txBox="1">
          <a:spLocks noChangeArrowheads="1"/>
        </xdr:cNvSpPr>
      </xdr:nvSpPr>
      <xdr:spPr bwMode="auto">
        <a:xfrm flipH="1">
          <a:off x="2867025" y="7143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1981200</xdr:colOff>
      <xdr:row>4</xdr:row>
      <xdr:rowOff>66675</xdr:rowOff>
    </xdr:from>
    <xdr:to>
      <xdr:col>3</xdr:col>
      <xdr:colOff>2162175</xdr:colOff>
      <xdr:row>5</xdr:row>
      <xdr:rowOff>76200</xdr:rowOff>
    </xdr:to>
    <xdr:sp macro="" textlink="">
      <xdr:nvSpPr>
        <xdr:cNvPr id="2047807" name="Text Box 184"/>
        <xdr:cNvSpPr txBox="1">
          <a:spLocks noChangeArrowheads="1"/>
        </xdr:cNvSpPr>
      </xdr:nvSpPr>
      <xdr:spPr bwMode="auto">
        <a:xfrm flipH="1">
          <a:off x="2867025" y="7143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1981200</xdr:colOff>
      <xdr:row>4</xdr:row>
      <xdr:rowOff>66675</xdr:rowOff>
    </xdr:from>
    <xdr:to>
      <xdr:col>3</xdr:col>
      <xdr:colOff>2162175</xdr:colOff>
      <xdr:row>5</xdr:row>
      <xdr:rowOff>76200</xdr:rowOff>
    </xdr:to>
    <xdr:sp macro="" textlink="">
      <xdr:nvSpPr>
        <xdr:cNvPr id="2047808" name="Text Box 2"/>
        <xdr:cNvSpPr txBox="1">
          <a:spLocks noChangeArrowheads="1"/>
        </xdr:cNvSpPr>
      </xdr:nvSpPr>
      <xdr:spPr bwMode="auto">
        <a:xfrm flipH="1">
          <a:off x="2867025" y="7143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1981200</xdr:colOff>
      <xdr:row>4</xdr:row>
      <xdr:rowOff>66675</xdr:rowOff>
    </xdr:from>
    <xdr:to>
      <xdr:col>3</xdr:col>
      <xdr:colOff>2162175</xdr:colOff>
      <xdr:row>5</xdr:row>
      <xdr:rowOff>76200</xdr:rowOff>
    </xdr:to>
    <xdr:sp macro="" textlink="">
      <xdr:nvSpPr>
        <xdr:cNvPr id="2047809" name="Text Box 184"/>
        <xdr:cNvSpPr txBox="1">
          <a:spLocks noChangeArrowheads="1"/>
        </xdr:cNvSpPr>
      </xdr:nvSpPr>
      <xdr:spPr bwMode="auto">
        <a:xfrm flipH="1">
          <a:off x="2867025" y="7143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1981200</xdr:colOff>
      <xdr:row>4</xdr:row>
      <xdr:rowOff>66675</xdr:rowOff>
    </xdr:from>
    <xdr:to>
      <xdr:col>3</xdr:col>
      <xdr:colOff>2162175</xdr:colOff>
      <xdr:row>5</xdr:row>
      <xdr:rowOff>76200</xdr:rowOff>
    </xdr:to>
    <xdr:sp macro="" textlink="">
      <xdr:nvSpPr>
        <xdr:cNvPr id="2047810" name="Text Box 2"/>
        <xdr:cNvSpPr txBox="1">
          <a:spLocks noChangeArrowheads="1"/>
        </xdr:cNvSpPr>
      </xdr:nvSpPr>
      <xdr:spPr bwMode="auto">
        <a:xfrm flipH="1">
          <a:off x="2867025" y="7143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1981200</xdr:colOff>
      <xdr:row>4</xdr:row>
      <xdr:rowOff>66675</xdr:rowOff>
    </xdr:from>
    <xdr:to>
      <xdr:col>3</xdr:col>
      <xdr:colOff>2162175</xdr:colOff>
      <xdr:row>5</xdr:row>
      <xdr:rowOff>76200</xdr:rowOff>
    </xdr:to>
    <xdr:sp macro="" textlink="">
      <xdr:nvSpPr>
        <xdr:cNvPr id="2047811" name="Text Box 184"/>
        <xdr:cNvSpPr txBox="1">
          <a:spLocks noChangeArrowheads="1"/>
        </xdr:cNvSpPr>
      </xdr:nvSpPr>
      <xdr:spPr bwMode="auto">
        <a:xfrm flipH="1">
          <a:off x="2867025" y="7143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1981200</xdr:colOff>
      <xdr:row>4</xdr:row>
      <xdr:rowOff>66675</xdr:rowOff>
    </xdr:from>
    <xdr:to>
      <xdr:col>3</xdr:col>
      <xdr:colOff>2162175</xdr:colOff>
      <xdr:row>5</xdr:row>
      <xdr:rowOff>76200</xdr:rowOff>
    </xdr:to>
    <xdr:sp macro="" textlink="">
      <xdr:nvSpPr>
        <xdr:cNvPr id="2047812" name="Text Box 2"/>
        <xdr:cNvSpPr txBox="1">
          <a:spLocks noChangeArrowheads="1"/>
        </xdr:cNvSpPr>
      </xdr:nvSpPr>
      <xdr:spPr bwMode="auto">
        <a:xfrm flipH="1">
          <a:off x="2867025" y="7143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1981200</xdr:colOff>
      <xdr:row>4</xdr:row>
      <xdr:rowOff>66675</xdr:rowOff>
    </xdr:from>
    <xdr:to>
      <xdr:col>3</xdr:col>
      <xdr:colOff>2162175</xdr:colOff>
      <xdr:row>5</xdr:row>
      <xdr:rowOff>76200</xdr:rowOff>
    </xdr:to>
    <xdr:sp macro="" textlink="">
      <xdr:nvSpPr>
        <xdr:cNvPr id="2047813" name="Text Box 184"/>
        <xdr:cNvSpPr txBox="1">
          <a:spLocks noChangeArrowheads="1"/>
        </xdr:cNvSpPr>
      </xdr:nvSpPr>
      <xdr:spPr bwMode="auto">
        <a:xfrm flipH="1">
          <a:off x="2867025" y="7143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1981200</xdr:colOff>
      <xdr:row>4</xdr:row>
      <xdr:rowOff>66675</xdr:rowOff>
    </xdr:from>
    <xdr:to>
      <xdr:col>3</xdr:col>
      <xdr:colOff>2162175</xdr:colOff>
      <xdr:row>5</xdr:row>
      <xdr:rowOff>76200</xdr:rowOff>
    </xdr:to>
    <xdr:sp macro="" textlink="">
      <xdr:nvSpPr>
        <xdr:cNvPr id="2047814" name="Text Box 2"/>
        <xdr:cNvSpPr txBox="1">
          <a:spLocks noChangeArrowheads="1"/>
        </xdr:cNvSpPr>
      </xdr:nvSpPr>
      <xdr:spPr bwMode="auto">
        <a:xfrm flipH="1">
          <a:off x="2867025" y="7143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1981200</xdr:colOff>
      <xdr:row>4</xdr:row>
      <xdr:rowOff>66675</xdr:rowOff>
    </xdr:from>
    <xdr:to>
      <xdr:col>3</xdr:col>
      <xdr:colOff>2162175</xdr:colOff>
      <xdr:row>5</xdr:row>
      <xdr:rowOff>76200</xdr:rowOff>
    </xdr:to>
    <xdr:sp macro="" textlink="">
      <xdr:nvSpPr>
        <xdr:cNvPr id="2047815" name="Text Box 184"/>
        <xdr:cNvSpPr txBox="1">
          <a:spLocks noChangeArrowheads="1"/>
        </xdr:cNvSpPr>
      </xdr:nvSpPr>
      <xdr:spPr bwMode="auto">
        <a:xfrm flipH="1">
          <a:off x="2867025" y="7143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1981200</xdr:colOff>
      <xdr:row>4</xdr:row>
      <xdr:rowOff>66675</xdr:rowOff>
    </xdr:from>
    <xdr:to>
      <xdr:col>3</xdr:col>
      <xdr:colOff>2162175</xdr:colOff>
      <xdr:row>5</xdr:row>
      <xdr:rowOff>76200</xdr:rowOff>
    </xdr:to>
    <xdr:sp macro="" textlink="">
      <xdr:nvSpPr>
        <xdr:cNvPr id="2047816" name="Text Box 2"/>
        <xdr:cNvSpPr txBox="1">
          <a:spLocks noChangeArrowheads="1"/>
        </xdr:cNvSpPr>
      </xdr:nvSpPr>
      <xdr:spPr bwMode="auto">
        <a:xfrm flipH="1">
          <a:off x="2867025" y="7143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1981200</xdr:colOff>
      <xdr:row>4</xdr:row>
      <xdr:rowOff>66675</xdr:rowOff>
    </xdr:from>
    <xdr:to>
      <xdr:col>3</xdr:col>
      <xdr:colOff>2162175</xdr:colOff>
      <xdr:row>5</xdr:row>
      <xdr:rowOff>76200</xdr:rowOff>
    </xdr:to>
    <xdr:sp macro="" textlink="">
      <xdr:nvSpPr>
        <xdr:cNvPr id="2047817" name="Text Box 184"/>
        <xdr:cNvSpPr txBox="1">
          <a:spLocks noChangeArrowheads="1"/>
        </xdr:cNvSpPr>
      </xdr:nvSpPr>
      <xdr:spPr bwMode="auto">
        <a:xfrm flipH="1">
          <a:off x="2867025" y="7143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1981200</xdr:colOff>
      <xdr:row>4</xdr:row>
      <xdr:rowOff>66675</xdr:rowOff>
    </xdr:from>
    <xdr:to>
      <xdr:col>3</xdr:col>
      <xdr:colOff>2162175</xdr:colOff>
      <xdr:row>5</xdr:row>
      <xdr:rowOff>76200</xdr:rowOff>
    </xdr:to>
    <xdr:sp macro="" textlink="">
      <xdr:nvSpPr>
        <xdr:cNvPr id="2047818" name="Text Box 2"/>
        <xdr:cNvSpPr txBox="1">
          <a:spLocks noChangeArrowheads="1"/>
        </xdr:cNvSpPr>
      </xdr:nvSpPr>
      <xdr:spPr bwMode="auto">
        <a:xfrm flipH="1">
          <a:off x="2867025" y="7143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1981200</xdr:colOff>
      <xdr:row>4</xdr:row>
      <xdr:rowOff>66675</xdr:rowOff>
    </xdr:from>
    <xdr:to>
      <xdr:col>3</xdr:col>
      <xdr:colOff>2162175</xdr:colOff>
      <xdr:row>5</xdr:row>
      <xdr:rowOff>76200</xdr:rowOff>
    </xdr:to>
    <xdr:sp macro="" textlink="">
      <xdr:nvSpPr>
        <xdr:cNvPr id="2047819" name="Text Box 184"/>
        <xdr:cNvSpPr txBox="1">
          <a:spLocks noChangeArrowheads="1"/>
        </xdr:cNvSpPr>
      </xdr:nvSpPr>
      <xdr:spPr bwMode="auto">
        <a:xfrm flipH="1">
          <a:off x="2867025" y="7143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1981200</xdr:colOff>
      <xdr:row>4</xdr:row>
      <xdr:rowOff>66675</xdr:rowOff>
    </xdr:from>
    <xdr:to>
      <xdr:col>3</xdr:col>
      <xdr:colOff>2162175</xdr:colOff>
      <xdr:row>5</xdr:row>
      <xdr:rowOff>76200</xdr:rowOff>
    </xdr:to>
    <xdr:sp macro="" textlink="">
      <xdr:nvSpPr>
        <xdr:cNvPr id="2047820" name="Text Box 2"/>
        <xdr:cNvSpPr txBox="1">
          <a:spLocks noChangeArrowheads="1"/>
        </xdr:cNvSpPr>
      </xdr:nvSpPr>
      <xdr:spPr bwMode="auto">
        <a:xfrm flipH="1">
          <a:off x="2867025" y="7143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1981200</xdr:colOff>
      <xdr:row>4</xdr:row>
      <xdr:rowOff>66675</xdr:rowOff>
    </xdr:from>
    <xdr:to>
      <xdr:col>3</xdr:col>
      <xdr:colOff>2162175</xdr:colOff>
      <xdr:row>5</xdr:row>
      <xdr:rowOff>76200</xdr:rowOff>
    </xdr:to>
    <xdr:sp macro="" textlink="">
      <xdr:nvSpPr>
        <xdr:cNvPr id="2047821" name="Text Box 184"/>
        <xdr:cNvSpPr txBox="1">
          <a:spLocks noChangeArrowheads="1"/>
        </xdr:cNvSpPr>
      </xdr:nvSpPr>
      <xdr:spPr bwMode="auto">
        <a:xfrm flipH="1">
          <a:off x="2867025" y="7143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1981200</xdr:colOff>
      <xdr:row>4</xdr:row>
      <xdr:rowOff>66675</xdr:rowOff>
    </xdr:from>
    <xdr:to>
      <xdr:col>3</xdr:col>
      <xdr:colOff>2162175</xdr:colOff>
      <xdr:row>5</xdr:row>
      <xdr:rowOff>76200</xdr:rowOff>
    </xdr:to>
    <xdr:sp macro="" textlink="">
      <xdr:nvSpPr>
        <xdr:cNvPr id="2047822" name="Text Box 2"/>
        <xdr:cNvSpPr txBox="1">
          <a:spLocks noChangeArrowheads="1"/>
        </xdr:cNvSpPr>
      </xdr:nvSpPr>
      <xdr:spPr bwMode="auto">
        <a:xfrm flipH="1">
          <a:off x="2867025" y="7143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1981200</xdr:colOff>
      <xdr:row>4</xdr:row>
      <xdr:rowOff>66675</xdr:rowOff>
    </xdr:from>
    <xdr:to>
      <xdr:col>3</xdr:col>
      <xdr:colOff>2162175</xdr:colOff>
      <xdr:row>5</xdr:row>
      <xdr:rowOff>76200</xdr:rowOff>
    </xdr:to>
    <xdr:sp macro="" textlink="">
      <xdr:nvSpPr>
        <xdr:cNvPr id="2047823" name="Text Box 184"/>
        <xdr:cNvSpPr txBox="1">
          <a:spLocks noChangeArrowheads="1"/>
        </xdr:cNvSpPr>
      </xdr:nvSpPr>
      <xdr:spPr bwMode="auto">
        <a:xfrm flipH="1">
          <a:off x="2867025" y="7143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1981200</xdr:colOff>
      <xdr:row>4</xdr:row>
      <xdr:rowOff>66675</xdr:rowOff>
    </xdr:from>
    <xdr:to>
      <xdr:col>3</xdr:col>
      <xdr:colOff>2162175</xdr:colOff>
      <xdr:row>5</xdr:row>
      <xdr:rowOff>76200</xdr:rowOff>
    </xdr:to>
    <xdr:sp macro="" textlink="">
      <xdr:nvSpPr>
        <xdr:cNvPr id="2047824" name="Text Box 2"/>
        <xdr:cNvSpPr txBox="1">
          <a:spLocks noChangeArrowheads="1"/>
        </xdr:cNvSpPr>
      </xdr:nvSpPr>
      <xdr:spPr bwMode="auto">
        <a:xfrm flipH="1">
          <a:off x="2867025" y="7143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1981200</xdr:colOff>
      <xdr:row>4</xdr:row>
      <xdr:rowOff>66675</xdr:rowOff>
    </xdr:from>
    <xdr:to>
      <xdr:col>3</xdr:col>
      <xdr:colOff>2162175</xdr:colOff>
      <xdr:row>5</xdr:row>
      <xdr:rowOff>76200</xdr:rowOff>
    </xdr:to>
    <xdr:sp macro="" textlink="">
      <xdr:nvSpPr>
        <xdr:cNvPr id="2047825" name="Text Box 184"/>
        <xdr:cNvSpPr txBox="1">
          <a:spLocks noChangeArrowheads="1"/>
        </xdr:cNvSpPr>
      </xdr:nvSpPr>
      <xdr:spPr bwMode="auto">
        <a:xfrm flipH="1">
          <a:off x="2867025" y="7143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1981200</xdr:colOff>
      <xdr:row>4</xdr:row>
      <xdr:rowOff>66675</xdr:rowOff>
    </xdr:from>
    <xdr:to>
      <xdr:col>3</xdr:col>
      <xdr:colOff>2162175</xdr:colOff>
      <xdr:row>5</xdr:row>
      <xdr:rowOff>76200</xdr:rowOff>
    </xdr:to>
    <xdr:sp macro="" textlink="">
      <xdr:nvSpPr>
        <xdr:cNvPr id="2047826" name="Text Box 2"/>
        <xdr:cNvSpPr txBox="1">
          <a:spLocks noChangeArrowheads="1"/>
        </xdr:cNvSpPr>
      </xdr:nvSpPr>
      <xdr:spPr bwMode="auto">
        <a:xfrm flipH="1">
          <a:off x="2867025" y="7143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1981200</xdr:colOff>
      <xdr:row>4</xdr:row>
      <xdr:rowOff>66675</xdr:rowOff>
    </xdr:from>
    <xdr:to>
      <xdr:col>3</xdr:col>
      <xdr:colOff>2162175</xdr:colOff>
      <xdr:row>5</xdr:row>
      <xdr:rowOff>76200</xdr:rowOff>
    </xdr:to>
    <xdr:sp macro="" textlink="">
      <xdr:nvSpPr>
        <xdr:cNvPr id="2047827" name="Text Box 184"/>
        <xdr:cNvSpPr txBox="1">
          <a:spLocks noChangeArrowheads="1"/>
        </xdr:cNvSpPr>
      </xdr:nvSpPr>
      <xdr:spPr bwMode="auto">
        <a:xfrm flipH="1">
          <a:off x="2867025" y="7143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1981200</xdr:colOff>
      <xdr:row>4</xdr:row>
      <xdr:rowOff>66675</xdr:rowOff>
    </xdr:from>
    <xdr:to>
      <xdr:col>3</xdr:col>
      <xdr:colOff>2162175</xdr:colOff>
      <xdr:row>5</xdr:row>
      <xdr:rowOff>76200</xdr:rowOff>
    </xdr:to>
    <xdr:sp macro="" textlink="">
      <xdr:nvSpPr>
        <xdr:cNvPr id="2047828" name="Text Box 2"/>
        <xdr:cNvSpPr txBox="1">
          <a:spLocks noChangeArrowheads="1"/>
        </xdr:cNvSpPr>
      </xdr:nvSpPr>
      <xdr:spPr bwMode="auto">
        <a:xfrm flipH="1">
          <a:off x="2867025" y="7143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1981200</xdr:colOff>
      <xdr:row>4</xdr:row>
      <xdr:rowOff>66675</xdr:rowOff>
    </xdr:from>
    <xdr:to>
      <xdr:col>3</xdr:col>
      <xdr:colOff>2162175</xdr:colOff>
      <xdr:row>5</xdr:row>
      <xdr:rowOff>76200</xdr:rowOff>
    </xdr:to>
    <xdr:sp macro="" textlink="">
      <xdr:nvSpPr>
        <xdr:cNvPr id="2047829" name="Text Box 184"/>
        <xdr:cNvSpPr txBox="1">
          <a:spLocks noChangeArrowheads="1"/>
        </xdr:cNvSpPr>
      </xdr:nvSpPr>
      <xdr:spPr bwMode="auto">
        <a:xfrm flipH="1">
          <a:off x="2867025" y="7143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3"/>
  <sheetViews>
    <sheetView zoomScale="115" zoomScaleNormal="115" workbookViewId="0">
      <selection activeCell="AA16" sqref="AA16"/>
    </sheetView>
  </sheetViews>
  <sheetFormatPr defaultColWidth="11.7109375" defaultRowHeight="12.75" x14ac:dyDescent="0.2"/>
  <cols>
    <col min="1" max="1" width="5.85546875" customWidth="1"/>
    <col min="2" max="2" width="32" customWidth="1"/>
    <col min="3" max="3" width="3.85546875" customWidth="1"/>
    <col min="4" max="4" width="7.28515625" style="1" customWidth="1"/>
    <col min="5" max="5" width="12.28515625" hidden="1" customWidth="1"/>
    <col min="6" max="6" width="22.42578125" hidden="1" customWidth="1"/>
    <col min="7" max="7" width="22.85546875" hidden="1" customWidth="1"/>
    <col min="8" max="8" width="22.42578125" hidden="1" customWidth="1"/>
    <col min="9" max="9" width="22.85546875" hidden="1" customWidth="1"/>
    <col min="10" max="10" width="22.5703125" hidden="1" customWidth="1"/>
    <col min="11" max="11" width="11.7109375" hidden="1" customWidth="1"/>
    <col min="12" max="12" width="22.5703125" hidden="1" customWidth="1"/>
    <col min="13" max="13" width="11.7109375" hidden="1" customWidth="1"/>
    <col min="14" max="14" width="22.5703125" hidden="1" customWidth="1"/>
    <col min="15" max="15" width="11.7109375" hidden="1" customWidth="1"/>
    <col min="16" max="16" width="22.5703125" hidden="1" customWidth="1"/>
    <col min="17" max="18" width="11.7109375" hidden="1" customWidth="1"/>
    <col min="19" max="19" width="0" hidden="1" customWidth="1"/>
    <col min="20" max="20" width="11.7109375" hidden="1" customWidth="1"/>
  </cols>
  <sheetData>
    <row r="1" spans="1:21" ht="0.75" customHeight="1" x14ac:dyDescent="0.2">
      <c r="A1" s="2"/>
      <c r="B1" s="2"/>
      <c r="C1" s="2"/>
      <c r="D1" s="3"/>
      <c r="E1" s="2"/>
    </row>
    <row r="2" spans="1:21" hidden="1" x14ac:dyDescent="0.2">
      <c r="A2" s="2"/>
      <c r="B2" s="2"/>
      <c r="C2" s="2"/>
      <c r="D2" s="3"/>
      <c r="E2" s="2"/>
    </row>
    <row r="3" spans="1:21" hidden="1" x14ac:dyDescent="0.2">
      <c r="A3" s="2"/>
      <c r="B3" s="2"/>
      <c r="C3" s="2"/>
      <c r="D3" s="3"/>
      <c r="E3" s="2"/>
    </row>
    <row r="4" spans="1:21" ht="12" customHeight="1" thickBot="1" x14ac:dyDescent="0.25">
      <c r="A4" s="4" t="s">
        <v>256</v>
      </c>
      <c r="B4" s="5"/>
      <c r="C4" s="6"/>
      <c r="D4" s="7"/>
      <c r="E4" s="8"/>
    </row>
    <row r="5" spans="1:21" ht="12.95" customHeight="1" x14ac:dyDescent="0.2">
      <c r="A5" s="278" t="s">
        <v>0</v>
      </c>
      <c r="B5" s="278" t="s">
        <v>1</v>
      </c>
      <c r="C5" s="281" t="s">
        <v>2</v>
      </c>
      <c r="D5" s="283" t="s">
        <v>3</v>
      </c>
      <c r="E5" s="286" t="s">
        <v>255</v>
      </c>
      <c r="F5" s="286" t="s">
        <v>269</v>
      </c>
      <c r="G5" s="286" t="s">
        <v>270</v>
      </c>
      <c r="H5" s="286" t="s">
        <v>269</v>
      </c>
      <c r="I5" s="286" t="s">
        <v>272</v>
      </c>
      <c r="J5" s="286" t="s">
        <v>269</v>
      </c>
      <c r="K5" s="286" t="s">
        <v>276</v>
      </c>
      <c r="L5" s="286" t="s">
        <v>269</v>
      </c>
      <c r="M5" s="286" t="s">
        <v>278</v>
      </c>
      <c r="N5" s="286" t="s">
        <v>269</v>
      </c>
      <c r="O5" s="286" t="s">
        <v>279</v>
      </c>
      <c r="P5" s="286" t="s">
        <v>269</v>
      </c>
      <c r="Q5" s="286" t="s">
        <v>284</v>
      </c>
      <c r="R5" s="286" t="s">
        <v>269</v>
      </c>
      <c r="S5" s="286" t="s">
        <v>286</v>
      </c>
      <c r="T5" s="286" t="s">
        <v>269</v>
      </c>
      <c r="U5" s="286" t="s">
        <v>287</v>
      </c>
    </row>
    <row r="6" spans="1:21" ht="12.95" customHeight="1" x14ac:dyDescent="0.2">
      <c r="A6" s="279"/>
      <c r="B6" s="279"/>
      <c r="C6" s="282"/>
      <c r="D6" s="284"/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87"/>
      <c r="Q6" s="287"/>
      <c r="R6" s="287"/>
      <c r="S6" s="287"/>
      <c r="T6" s="287"/>
      <c r="U6" s="287"/>
    </row>
    <row r="7" spans="1:21" ht="12.95" customHeight="1" x14ac:dyDescent="0.2">
      <c r="A7" s="279"/>
      <c r="B7" s="279"/>
      <c r="C7" s="282"/>
      <c r="D7" s="284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</row>
    <row r="8" spans="1:21" ht="12.95" customHeight="1" x14ac:dyDescent="0.2">
      <c r="A8" s="279"/>
      <c r="B8" s="279"/>
      <c r="C8" s="282"/>
      <c r="D8" s="284"/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287"/>
      <c r="P8" s="287"/>
      <c r="Q8" s="287"/>
      <c r="R8" s="287"/>
      <c r="S8" s="287"/>
      <c r="T8" s="287"/>
      <c r="U8" s="287"/>
    </row>
    <row r="9" spans="1:21" ht="12.95" customHeight="1" x14ac:dyDescent="0.2">
      <c r="A9" s="279"/>
      <c r="B9" s="279"/>
      <c r="C9" s="282"/>
      <c r="D9" s="284"/>
      <c r="E9" s="287"/>
      <c r="F9" s="287"/>
      <c r="G9" s="287"/>
      <c r="H9" s="287"/>
      <c r="I9" s="287"/>
      <c r="J9" s="287"/>
      <c r="K9" s="287"/>
      <c r="L9" s="287"/>
      <c r="M9" s="287"/>
      <c r="N9" s="287"/>
      <c r="O9" s="287"/>
      <c r="P9" s="287"/>
      <c r="Q9" s="287"/>
      <c r="R9" s="287"/>
      <c r="S9" s="287"/>
      <c r="T9" s="287"/>
      <c r="U9" s="287"/>
    </row>
    <row r="10" spans="1:21" ht="12.95" customHeight="1" x14ac:dyDescent="0.2">
      <c r="A10" s="279"/>
      <c r="B10" s="279"/>
      <c r="C10" s="282"/>
      <c r="D10" s="284"/>
      <c r="E10" s="287"/>
      <c r="F10" s="287"/>
      <c r="G10" s="287"/>
      <c r="H10" s="287"/>
      <c r="I10" s="287"/>
      <c r="J10" s="287"/>
      <c r="K10" s="287"/>
      <c r="L10" s="287"/>
      <c r="M10" s="287"/>
      <c r="N10" s="287"/>
      <c r="O10" s="287"/>
      <c r="P10" s="287"/>
      <c r="Q10" s="287"/>
      <c r="R10" s="287"/>
      <c r="S10" s="287"/>
      <c r="T10" s="287"/>
      <c r="U10" s="287"/>
    </row>
    <row r="11" spans="1:21" ht="12.95" customHeight="1" x14ac:dyDescent="0.2">
      <c r="A11" s="279"/>
      <c r="B11" s="279"/>
      <c r="C11" s="282"/>
      <c r="D11" s="284"/>
      <c r="E11" s="287"/>
      <c r="F11" s="287"/>
      <c r="G11" s="287"/>
      <c r="H11" s="287"/>
      <c r="I11" s="287"/>
      <c r="J11" s="287"/>
      <c r="K11" s="287"/>
      <c r="L11" s="287"/>
      <c r="M11" s="287"/>
      <c r="N11" s="287"/>
      <c r="O11" s="287"/>
      <c r="P11" s="287"/>
      <c r="Q11" s="287"/>
      <c r="R11" s="287"/>
      <c r="S11" s="287"/>
      <c r="T11" s="287"/>
      <c r="U11" s="287"/>
    </row>
    <row r="12" spans="1:21" ht="12.95" customHeight="1" thickBot="1" x14ac:dyDescent="0.25">
      <c r="A12" s="280"/>
      <c r="B12" s="280"/>
      <c r="C12" s="282"/>
      <c r="D12" s="285"/>
      <c r="E12" s="288"/>
      <c r="F12" s="288"/>
      <c r="G12" s="288"/>
      <c r="H12" s="288"/>
      <c r="I12" s="288"/>
      <c r="J12" s="288"/>
      <c r="K12" s="288"/>
      <c r="L12" s="288"/>
      <c r="M12" s="288"/>
      <c r="N12" s="288"/>
      <c r="O12" s="288"/>
      <c r="P12" s="288"/>
      <c r="Q12" s="288"/>
      <c r="R12" s="288"/>
      <c r="S12" s="288"/>
      <c r="T12" s="288"/>
      <c r="U12" s="288"/>
    </row>
    <row r="13" spans="1:21" ht="12.95" customHeight="1" thickBot="1" x14ac:dyDescent="0.25">
      <c r="A13" s="63">
        <v>1</v>
      </c>
      <c r="B13" s="45">
        <v>2</v>
      </c>
      <c r="C13" s="22">
        <v>3</v>
      </c>
      <c r="D13" s="45">
        <v>4</v>
      </c>
      <c r="E13" s="53">
        <v>5</v>
      </c>
      <c r="F13" s="53">
        <v>5</v>
      </c>
      <c r="G13" s="53">
        <v>5</v>
      </c>
      <c r="H13" s="53">
        <v>5</v>
      </c>
      <c r="I13" s="53">
        <v>5</v>
      </c>
      <c r="J13" s="53">
        <v>5</v>
      </c>
      <c r="K13" s="53">
        <v>5</v>
      </c>
      <c r="L13" s="53">
        <v>5</v>
      </c>
      <c r="M13" s="53">
        <v>5</v>
      </c>
      <c r="N13" s="53">
        <v>5</v>
      </c>
      <c r="O13" s="53">
        <v>5</v>
      </c>
      <c r="P13" s="53">
        <v>5</v>
      </c>
      <c r="Q13" s="53">
        <v>5</v>
      </c>
      <c r="R13" s="53">
        <v>5</v>
      </c>
      <c r="S13" s="53">
        <v>5</v>
      </c>
      <c r="T13" s="53">
        <v>5</v>
      </c>
      <c r="U13" s="53">
        <v>5</v>
      </c>
    </row>
    <row r="14" spans="1:21" ht="12.95" customHeight="1" x14ac:dyDescent="0.2">
      <c r="A14" s="78" t="s">
        <v>257</v>
      </c>
      <c r="B14" s="79" t="s">
        <v>4</v>
      </c>
      <c r="C14" s="80"/>
      <c r="D14" s="81"/>
      <c r="E14" s="82">
        <f t="shared" ref="E14:T15" si="0">SUM(E15)</f>
        <v>7200</v>
      </c>
      <c r="F14" s="82">
        <f t="shared" si="0"/>
        <v>0</v>
      </c>
      <c r="G14" s="82">
        <f t="shared" si="0"/>
        <v>7200</v>
      </c>
      <c r="H14" s="82">
        <f t="shared" si="0"/>
        <v>0</v>
      </c>
      <c r="I14" s="82">
        <f t="shared" si="0"/>
        <v>7200</v>
      </c>
      <c r="J14" s="82">
        <f t="shared" si="0"/>
        <v>0</v>
      </c>
      <c r="K14" s="82">
        <f t="shared" si="0"/>
        <v>7200</v>
      </c>
      <c r="L14" s="82">
        <f t="shared" si="0"/>
        <v>0</v>
      </c>
      <c r="M14" s="82">
        <f t="shared" si="0"/>
        <v>7200</v>
      </c>
      <c r="N14" s="82">
        <f t="shared" si="0"/>
        <v>0</v>
      </c>
      <c r="O14" s="82">
        <f t="shared" si="0"/>
        <v>7200</v>
      </c>
      <c r="P14" s="82">
        <f t="shared" si="0"/>
        <v>4500</v>
      </c>
      <c r="Q14" s="82">
        <f t="shared" si="0"/>
        <v>11700</v>
      </c>
      <c r="R14" s="82">
        <f t="shared" si="0"/>
        <v>0</v>
      </c>
      <c r="S14" s="82">
        <f t="shared" si="0"/>
        <v>11700</v>
      </c>
      <c r="T14" s="82">
        <f t="shared" si="0"/>
        <v>0</v>
      </c>
      <c r="U14" s="82">
        <f>SUM(U15)</f>
        <v>11700</v>
      </c>
    </row>
    <row r="15" spans="1:21" ht="12.95" customHeight="1" x14ac:dyDescent="0.2">
      <c r="A15" s="101"/>
      <c r="B15" s="102" t="s">
        <v>5</v>
      </c>
      <c r="C15" s="103"/>
      <c r="D15" s="104" t="s">
        <v>6</v>
      </c>
      <c r="E15" s="105">
        <f t="shared" si="0"/>
        <v>7200</v>
      </c>
      <c r="F15" s="105">
        <f t="shared" si="0"/>
        <v>0</v>
      </c>
      <c r="G15" s="105">
        <f t="shared" si="0"/>
        <v>7200</v>
      </c>
      <c r="H15" s="105">
        <f t="shared" si="0"/>
        <v>0</v>
      </c>
      <c r="I15" s="105">
        <f t="shared" si="0"/>
        <v>7200</v>
      </c>
      <c r="J15" s="105">
        <f t="shared" si="0"/>
        <v>0</v>
      </c>
      <c r="K15" s="105">
        <f t="shared" si="0"/>
        <v>7200</v>
      </c>
      <c r="L15" s="105">
        <f t="shared" si="0"/>
        <v>0</v>
      </c>
      <c r="M15" s="105">
        <f t="shared" si="0"/>
        <v>7200</v>
      </c>
      <c r="N15" s="105">
        <f t="shared" si="0"/>
        <v>0</v>
      </c>
      <c r="O15" s="105">
        <f t="shared" si="0"/>
        <v>7200</v>
      </c>
      <c r="P15" s="105">
        <f t="shared" si="0"/>
        <v>4500</v>
      </c>
      <c r="Q15" s="105">
        <f t="shared" si="0"/>
        <v>11700</v>
      </c>
      <c r="R15" s="105">
        <f t="shared" si="0"/>
        <v>0</v>
      </c>
      <c r="S15" s="105">
        <f t="shared" si="0"/>
        <v>11700</v>
      </c>
      <c r="T15" s="105">
        <f>SUM(T16)</f>
        <v>0</v>
      </c>
      <c r="U15" s="105">
        <f>SUM(U16)</f>
        <v>11700</v>
      </c>
    </row>
    <row r="16" spans="1:21" ht="12.95" customHeight="1" x14ac:dyDescent="0.2">
      <c r="A16" s="34"/>
      <c r="B16" s="46" t="s">
        <v>7</v>
      </c>
      <c r="C16" s="64" t="s">
        <v>8</v>
      </c>
      <c r="D16" s="65"/>
      <c r="E16" s="55">
        <v>7200</v>
      </c>
      <c r="F16" s="55"/>
      <c r="G16" s="55">
        <f>SUM(E16:F16)</f>
        <v>7200</v>
      </c>
      <c r="H16" s="55"/>
      <c r="I16" s="55">
        <f>SUM(G16:H16)</f>
        <v>7200</v>
      </c>
      <c r="J16" s="55"/>
      <c r="K16" s="55">
        <f>SUM(I16:J16)</f>
        <v>7200</v>
      </c>
      <c r="L16" s="55"/>
      <c r="M16" s="55">
        <f>SUM(K16:L16)</f>
        <v>7200</v>
      </c>
      <c r="N16" s="55"/>
      <c r="O16" s="55">
        <f>SUM(M16:N16)</f>
        <v>7200</v>
      </c>
      <c r="P16" s="55">
        <v>4500</v>
      </c>
      <c r="Q16" s="55">
        <f>SUM(O16:P16)</f>
        <v>11700</v>
      </c>
      <c r="R16" s="55"/>
      <c r="S16" s="55">
        <f>SUM(Q16:R16)</f>
        <v>11700</v>
      </c>
      <c r="T16" s="55"/>
      <c r="U16" s="55">
        <f>SUM(S16:T16)</f>
        <v>11700</v>
      </c>
    </row>
    <row r="17" spans="1:21" ht="12.95" customHeight="1" x14ac:dyDescent="0.2">
      <c r="A17" s="83" t="s">
        <v>258</v>
      </c>
      <c r="B17" s="84" t="s">
        <v>9</v>
      </c>
      <c r="C17" s="85"/>
      <c r="D17" s="86"/>
      <c r="E17" s="87">
        <f t="shared" ref="E17:T18" si="1">SUM(E18)</f>
        <v>221100</v>
      </c>
      <c r="F17" s="87">
        <f t="shared" si="1"/>
        <v>0</v>
      </c>
      <c r="G17" s="87">
        <f t="shared" si="1"/>
        <v>221100</v>
      </c>
      <c r="H17" s="87">
        <f t="shared" si="1"/>
        <v>0</v>
      </c>
      <c r="I17" s="87">
        <f t="shared" si="1"/>
        <v>221100</v>
      </c>
      <c r="J17" s="87">
        <f t="shared" si="1"/>
        <v>0</v>
      </c>
      <c r="K17" s="87">
        <f t="shared" si="1"/>
        <v>221100</v>
      </c>
      <c r="L17" s="87">
        <f t="shared" si="1"/>
        <v>0</v>
      </c>
      <c r="M17" s="87">
        <f t="shared" si="1"/>
        <v>221100</v>
      </c>
      <c r="N17" s="87">
        <f t="shared" si="1"/>
        <v>0</v>
      </c>
      <c r="O17" s="87">
        <f t="shared" si="1"/>
        <v>221100</v>
      </c>
      <c r="P17" s="87">
        <f t="shared" si="1"/>
        <v>0</v>
      </c>
      <c r="Q17" s="87">
        <f t="shared" si="1"/>
        <v>221100</v>
      </c>
      <c r="R17" s="87">
        <f t="shared" si="1"/>
        <v>0</v>
      </c>
      <c r="S17" s="87">
        <f t="shared" si="1"/>
        <v>221100</v>
      </c>
      <c r="T17" s="87">
        <f t="shared" si="1"/>
        <v>0</v>
      </c>
      <c r="U17" s="87">
        <f>SUM(U18)</f>
        <v>221100</v>
      </c>
    </row>
    <row r="18" spans="1:21" ht="12.95" customHeight="1" x14ac:dyDescent="0.2">
      <c r="A18" s="106"/>
      <c r="B18" s="102" t="s">
        <v>5</v>
      </c>
      <c r="C18" s="107"/>
      <c r="D18" s="108" t="s">
        <v>10</v>
      </c>
      <c r="E18" s="105">
        <f t="shared" si="1"/>
        <v>221100</v>
      </c>
      <c r="F18" s="105">
        <f t="shared" si="1"/>
        <v>0</v>
      </c>
      <c r="G18" s="105">
        <f t="shared" si="1"/>
        <v>221100</v>
      </c>
      <c r="H18" s="105">
        <f t="shared" si="1"/>
        <v>0</v>
      </c>
      <c r="I18" s="105">
        <f t="shared" si="1"/>
        <v>221100</v>
      </c>
      <c r="J18" s="105">
        <f t="shared" si="1"/>
        <v>0</v>
      </c>
      <c r="K18" s="105">
        <f t="shared" si="1"/>
        <v>221100</v>
      </c>
      <c r="L18" s="105">
        <f t="shared" si="1"/>
        <v>0</v>
      </c>
      <c r="M18" s="105">
        <f t="shared" si="1"/>
        <v>221100</v>
      </c>
      <c r="N18" s="105">
        <f t="shared" si="1"/>
        <v>0</v>
      </c>
      <c r="O18" s="105">
        <f t="shared" si="1"/>
        <v>221100</v>
      </c>
      <c r="P18" s="105">
        <f t="shared" si="1"/>
        <v>0</v>
      </c>
      <c r="Q18" s="105">
        <f t="shared" si="1"/>
        <v>221100</v>
      </c>
      <c r="R18" s="105">
        <f t="shared" si="1"/>
        <v>0</v>
      </c>
      <c r="S18" s="105">
        <f t="shared" si="1"/>
        <v>221100</v>
      </c>
      <c r="T18" s="105">
        <f>SUM(T19)</f>
        <v>0</v>
      </c>
      <c r="U18" s="105">
        <f>SUM(U19)</f>
        <v>221100</v>
      </c>
    </row>
    <row r="19" spans="1:21" ht="12.95" customHeight="1" x14ac:dyDescent="0.2">
      <c r="A19" s="34"/>
      <c r="B19" s="46" t="s">
        <v>7</v>
      </c>
      <c r="C19" s="64" t="s">
        <v>8</v>
      </c>
      <c r="D19" s="68"/>
      <c r="E19" s="55">
        <v>221100</v>
      </c>
      <c r="F19" s="55"/>
      <c r="G19" s="55">
        <f>SUM(E19:F19)</f>
        <v>221100</v>
      </c>
      <c r="H19" s="55"/>
      <c r="I19" s="55">
        <f>SUM(G19:H19)</f>
        <v>221100</v>
      </c>
      <c r="J19" s="55"/>
      <c r="K19" s="55">
        <f>SUM(I19:J19)</f>
        <v>221100</v>
      </c>
      <c r="L19" s="55"/>
      <c r="M19" s="55">
        <f>SUM(K19:L19)</f>
        <v>221100</v>
      </c>
      <c r="N19" s="55"/>
      <c r="O19" s="55">
        <f>SUM(M19:N19)</f>
        <v>221100</v>
      </c>
      <c r="P19" s="55"/>
      <c r="Q19" s="55">
        <f>SUM(O19:P19)</f>
        <v>221100</v>
      </c>
      <c r="R19" s="55"/>
      <c r="S19" s="55">
        <f>SUM(Q19:R19)</f>
        <v>221100</v>
      </c>
      <c r="T19" s="55"/>
      <c r="U19" s="55">
        <f>SUM(S19:T19)</f>
        <v>221100</v>
      </c>
    </row>
    <row r="20" spans="1:21" ht="12.95" customHeight="1" x14ac:dyDescent="0.2">
      <c r="A20" s="83" t="s">
        <v>259</v>
      </c>
      <c r="B20" s="88" t="s">
        <v>11</v>
      </c>
      <c r="C20" s="85"/>
      <c r="D20" s="86"/>
      <c r="E20" s="89">
        <f t="shared" ref="E20:T21" si="2">SUM(E21)</f>
        <v>600</v>
      </c>
      <c r="F20" s="89">
        <f t="shared" si="2"/>
        <v>0</v>
      </c>
      <c r="G20" s="89">
        <f t="shared" si="2"/>
        <v>600</v>
      </c>
      <c r="H20" s="89">
        <f t="shared" si="2"/>
        <v>0</v>
      </c>
      <c r="I20" s="89">
        <f t="shared" si="2"/>
        <v>600</v>
      </c>
      <c r="J20" s="89">
        <f t="shared" si="2"/>
        <v>0</v>
      </c>
      <c r="K20" s="89">
        <f t="shared" si="2"/>
        <v>600</v>
      </c>
      <c r="L20" s="89">
        <f t="shared" si="2"/>
        <v>0</v>
      </c>
      <c r="M20" s="89">
        <f t="shared" si="2"/>
        <v>600</v>
      </c>
      <c r="N20" s="89">
        <f t="shared" si="2"/>
        <v>0</v>
      </c>
      <c r="O20" s="89">
        <f t="shared" si="2"/>
        <v>600</v>
      </c>
      <c r="P20" s="89">
        <f t="shared" si="2"/>
        <v>330</v>
      </c>
      <c r="Q20" s="89">
        <f t="shared" si="2"/>
        <v>930</v>
      </c>
      <c r="R20" s="89">
        <f t="shared" si="2"/>
        <v>0</v>
      </c>
      <c r="S20" s="89">
        <f t="shared" si="2"/>
        <v>930</v>
      </c>
      <c r="T20" s="89">
        <f t="shared" si="2"/>
        <v>0</v>
      </c>
      <c r="U20" s="89">
        <f>SUM(U21)</f>
        <v>930</v>
      </c>
    </row>
    <row r="21" spans="1:21" ht="12.95" customHeight="1" x14ac:dyDescent="0.2">
      <c r="A21" s="75"/>
      <c r="B21" s="102" t="s">
        <v>5</v>
      </c>
      <c r="C21" s="107"/>
      <c r="D21" s="109" t="s">
        <v>12</v>
      </c>
      <c r="E21" s="105">
        <f t="shared" si="2"/>
        <v>600</v>
      </c>
      <c r="F21" s="105">
        <f t="shared" si="2"/>
        <v>0</v>
      </c>
      <c r="G21" s="105">
        <f t="shared" si="2"/>
        <v>600</v>
      </c>
      <c r="H21" s="105">
        <f t="shared" si="2"/>
        <v>0</v>
      </c>
      <c r="I21" s="105">
        <f t="shared" si="2"/>
        <v>600</v>
      </c>
      <c r="J21" s="105">
        <f t="shared" si="2"/>
        <v>0</v>
      </c>
      <c r="K21" s="105">
        <f t="shared" si="2"/>
        <v>600</v>
      </c>
      <c r="L21" s="105">
        <f t="shared" si="2"/>
        <v>0</v>
      </c>
      <c r="M21" s="105">
        <f t="shared" si="2"/>
        <v>600</v>
      </c>
      <c r="N21" s="105">
        <f t="shared" si="2"/>
        <v>0</v>
      </c>
      <c r="O21" s="105">
        <f t="shared" si="2"/>
        <v>600</v>
      </c>
      <c r="P21" s="105">
        <f t="shared" si="2"/>
        <v>330</v>
      </c>
      <c r="Q21" s="105">
        <f t="shared" si="2"/>
        <v>930</v>
      </c>
      <c r="R21" s="105">
        <f t="shared" si="2"/>
        <v>0</v>
      </c>
      <c r="S21" s="105">
        <f t="shared" si="2"/>
        <v>930</v>
      </c>
      <c r="T21" s="105">
        <f>SUM(T22)</f>
        <v>0</v>
      </c>
      <c r="U21" s="105">
        <f>SUM(U22)</f>
        <v>930</v>
      </c>
    </row>
    <row r="22" spans="1:21" ht="12.95" customHeight="1" x14ac:dyDescent="0.2">
      <c r="A22" s="35"/>
      <c r="B22" s="46" t="s">
        <v>13</v>
      </c>
      <c r="C22" s="64" t="s">
        <v>14</v>
      </c>
      <c r="D22" s="65"/>
      <c r="E22" s="55">
        <v>600</v>
      </c>
      <c r="F22" s="55"/>
      <c r="G22" s="55">
        <f>SUM(E22:F22)</f>
        <v>600</v>
      </c>
      <c r="H22" s="55"/>
      <c r="I22" s="55">
        <f>SUM(G22:H22)</f>
        <v>600</v>
      </c>
      <c r="J22" s="55"/>
      <c r="K22" s="55">
        <f>SUM(I22:J22)</f>
        <v>600</v>
      </c>
      <c r="L22" s="55"/>
      <c r="M22" s="55">
        <f>SUM(K22:L22)</f>
        <v>600</v>
      </c>
      <c r="N22" s="55"/>
      <c r="O22" s="55">
        <f>SUM(M22:N22)</f>
        <v>600</v>
      </c>
      <c r="P22" s="55">
        <v>330</v>
      </c>
      <c r="Q22" s="55">
        <f>SUM(O22:P22)</f>
        <v>930</v>
      </c>
      <c r="R22" s="55"/>
      <c r="S22" s="55">
        <f>SUM(Q22:R22)</f>
        <v>930</v>
      </c>
      <c r="T22" s="55"/>
      <c r="U22" s="55">
        <f>SUM(S22:T22)</f>
        <v>930</v>
      </c>
    </row>
    <row r="23" spans="1:21" ht="12.95" customHeight="1" x14ac:dyDescent="0.2">
      <c r="A23" s="90">
        <v>600</v>
      </c>
      <c r="B23" s="88" t="s">
        <v>15</v>
      </c>
      <c r="C23" s="85"/>
      <c r="D23" s="86"/>
      <c r="E23" s="89">
        <f t="shared" ref="E23:K23" si="3">SUM(E24+E35)</f>
        <v>4528980</v>
      </c>
      <c r="F23" s="89">
        <f t="shared" si="3"/>
        <v>0</v>
      </c>
      <c r="G23" s="89">
        <f t="shared" si="3"/>
        <v>4528980</v>
      </c>
      <c r="H23" s="89">
        <f t="shared" si="3"/>
        <v>-49078</v>
      </c>
      <c r="I23" s="89">
        <f t="shared" si="3"/>
        <v>4479902</v>
      </c>
      <c r="J23" s="89">
        <f t="shared" si="3"/>
        <v>0</v>
      </c>
      <c r="K23" s="89">
        <f t="shared" si="3"/>
        <v>4479902</v>
      </c>
      <c r="L23" s="89">
        <f t="shared" ref="L23:Q23" si="4">SUM(L24+L35)</f>
        <v>0</v>
      </c>
      <c r="M23" s="89">
        <f t="shared" si="4"/>
        <v>4479902</v>
      </c>
      <c r="N23" s="89">
        <f t="shared" si="4"/>
        <v>121988</v>
      </c>
      <c r="O23" s="89">
        <f t="shared" si="4"/>
        <v>4601890</v>
      </c>
      <c r="P23" s="89">
        <f t="shared" si="4"/>
        <v>170000</v>
      </c>
      <c r="Q23" s="89">
        <f t="shared" si="4"/>
        <v>4771890</v>
      </c>
      <c r="R23" s="89">
        <f>SUM(R24+R35)</f>
        <v>0</v>
      </c>
      <c r="S23" s="89">
        <f>SUM(S24+S35)</f>
        <v>4771890</v>
      </c>
      <c r="T23" s="89">
        <f>SUM(T24+T35)</f>
        <v>-303267</v>
      </c>
      <c r="U23" s="89">
        <f>SUM(U24+U35)</f>
        <v>4468623</v>
      </c>
    </row>
    <row r="24" spans="1:21" ht="12.95" customHeight="1" x14ac:dyDescent="0.2">
      <c r="A24" s="75"/>
      <c r="B24" s="110" t="s">
        <v>16</v>
      </c>
      <c r="C24" s="107"/>
      <c r="D24" s="109">
        <v>60014</v>
      </c>
      <c r="E24" s="111">
        <f t="shared" ref="E24:K24" si="5">SUM(E25:E33)</f>
        <v>2846352</v>
      </c>
      <c r="F24" s="111">
        <f t="shared" si="5"/>
        <v>0</v>
      </c>
      <c r="G24" s="111">
        <f t="shared" si="5"/>
        <v>2846352</v>
      </c>
      <c r="H24" s="111">
        <f t="shared" si="5"/>
        <v>-49078</v>
      </c>
      <c r="I24" s="111">
        <f t="shared" si="5"/>
        <v>2797274</v>
      </c>
      <c r="J24" s="111">
        <f t="shared" si="5"/>
        <v>0</v>
      </c>
      <c r="K24" s="111">
        <f t="shared" si="5"/>
        <v>2797274</v>
      </c>
      <c r="L24" s="111">
        <f t="shared" ref="L24:Q24" si="6">SUM(L25:L33)</f>
        <v>0</v>
      </c>
      <c r="M24" s="111">
        <f t="shared" si="6"/>
        <v>2797274</v>
      </c>
      <c r="N24" s="111">
        <f t="shared" si="6"/>
        <v>121988</v>
      </c>
      <c r="O24" s="111">
        <f t="shared" si="6"/>
        <v>2919262</v>
      </c>
      <c r="P24" s="111">
        <f t="shared" si="6"/>
        <v>170000</v>
      </c>
      <c r="Q24" s="111">
        <f t="shared" si="6"/>
        <v>3089262</v>
      </c>
      <c r="R24" s="111">
        <f>SUM(R25:R33)</f>
        <v>0</v>
      </c>
      <c r="S24" s="111">
        <f>SUM(S25:S34)</f>
        <v>3089262</v>
      </c>
      <c r="T24" s="111">
        <f>SUM(T25:T34)</f>
        <v>-253267</v>
      </c>
      <c r="U24" s="111">
        <f>SUM(U25:U34)</f>
        <v>2835995</v>
      </c>
    </row>
    <row r="25" spans="1:21" ht="12.95" customHeight="1" x14ac:dyDescent="0.2">
      <c r="A25" s="37"/>
      <c r="B25" s="47" t="s">
        <v>17</v>
      </c>
      <c r="C25" s="66" t="s">
        <v>18</v>
      </c>
      <c r="D25" s="67"/>
      <c r="E25" s="56">
        <v>2390805</v>
      </c>
      <c r="F25" s="56"/>
      <c r="G25" s="56">
        <f t="shared" ref="G25:G31" si="7">SUM(E25:F25)</f>
        <v>2390805</v>
      </c>
      <c r="H25" s="56"/>
      <c r="I25" s="56">
        <f t="shared" ref="I25:I31" si="8">SUM(G25:H25)</f>
        <v>2390805</v>
      </c>
      <c r="J25" s="56"/>
      <c r="K25" s="56">
        <f t="shared" ref="K25:K31" si="9">SUM(I25:J25)</f>
        <v>2390805</v>
      </c>
      <c r="L25" s="56"/>
      <c r="M25" s="56">
        <f t="shared" ref="M25:M31" si="10">SUM(K25:L25)</f>
        <v>2390805</v>
      </c>
      <c r="N25" s="56">
        <f>-498602</f>
        <v>-498602</v>
      </c>
      <c r="O25" s="56">
        <f t="shared" ref="O25:O31" si="11">SUM(M25:N25)</f>
        <v>1892203</v>
      </c>
      <c r="P25" s="56"/>
      <c r="Q25" s="56">
        <f t="shared" ref="Q25:Q33" si="12">SUM(O25:P25)</f>
        <v>1892203</v>
      </c>
      <c r="R25" s="56"/>
      <c r="S25" s="56">
        <f t="shared" ref="S25:S33" si="13">SUM(Q25:R25)</f>
        <v>1892203</v>
      </c>
      <c r="T25" s="56">
        <v>-94947</v>
      </c>
      <c r="U25" s="56">
        <f t="shared" ref="U25:U34" si="14">SUM(S25:T25)</f>
        <v>1797256</v>
      </c>
    </row>
    <row r="26" spans="1:21" ht="12.95" customHeight="1" x14ac:dyDescent="0.2">
      <c r="A26" s="37"/>
      <c r="B26" s="47" t="s">
        <v>282</v>
      </c>
      <c r="C26" s="66" t="s">
        <v>26</v>
      </c>
      <c r="D26" s="67"/>
      <c r="E26" s="56"/>
      <c r="F26" s="56"/>
      <c r="G26" s="56"/>
      <c r="H26" s="56"/>
      <c r="I26" s="56"/>
      <c r="J26" s="56"/>
      <c r="K26" s="56"/>
      <c r="L26" s="56"/>
      <c r="M26" s="56"/>
      <c r="N26" s="56">
        <v>520590</v>
      </c>
      <c r="O26" s="56">
        <f>SUM(M26:N26)</f>
        <v>520590</v>
      </c>
      <c r="P26" s="56"/>
      <c r="Q26" s="56">
        <f t="shared" si="12"/>
        <v>520590</v>
      </c>
      <c r="R26" s="56"/>
      <c r="S26" s="56">
        <f t="shared" si="13"/>
        <v>520590</v>
      </c>
      <c r="T26" s="56">
        <v>-158478</v>
      </c>
      <c r="U26" s="56">
        <f t="shared" si="14"/>
        <v>362112</v>
      </c>
    </row>
    <row r="27" spans="1:21" ht="12.95" customHeight="1" x14ac:dyDescent="0.2">
      <c r="A27" s="37"/>
      <c r="B27" s="47" t="s">
        <v>19</v>
      </c>
      <c r="C27" s="66" t="s">
        <v>20</v>
      </c>
      <c r="D27" s="67"/>
      <c r="E27" s="56">
        <v>300000</v>
      </c>
      <c r="F27" s="56"/>
      <c r="G27" s="56">
        <f t="shared" si="7"/>
        <v>300000</v>
      </c>
      <c r="H27" s="56"/>
      <c r="I27" s="56">
        <f t="shared" si="8"/>
        <v>300000</v>
      </c>
      <c r="J27" s="56"/>
      <c r="K27" s="56">
        <f t="shared" si="9"/>
        <v>300000</v>
      </c>
      <c r="L27" s="56"/>
      <c r="M27" s="56">
        <f t="shared" si="10"/>
        <v>300000</v>
      </c>
      <c r="N27" s="56">
        <f>100000</f>
        <v>100000</v>
      </c>
      <c r="O27" s="56">
        <f t="shared" si="11"/>
        <v>400000</v>
      </c>
      <c r="P27" s="56">
        <f>220000-50000</f>
        <v>170000</v>
      </c>
      <c r="Q27" s="56">
        <f t="shared" si="12"/>
        <v>570000</v>
      </c>
      <c r="R27" s="56"/>
      <c r="S27" s="56">
        <f t="shared" si="13"/>
        <v>570000</v>
      </c>
      <c r="T27" s="56"/>
      <c r="U27" s="56">
        <f t="shared" si="14"/>
        <v>570000</v>
      </c>
    </row>
    <row r="28" spans="1:21" ht="12.95" hidden="1" customHeight="1" x14ac:dyDescent="0.2">
      <c r="A28" s="37"/>
      <c r="B28" s="47" t="s">
        <v>19</v>
      </c>
      <c r="C28" s="66" t="s">
        <v>21</v>
      </c>
      <c r="D28" s="67"/>
      <c r="E28" s="56"/>
      <c r="F28" s="56"/>
      <c r="G28" s="56">
        <f t="shared" si="7"/>
        <v>0</v>
      </c>
      <c r="H28" s="56"/>
      <c r="I28" s="56">
        <f t="shared" si="8"/>
        <v>0</v>
      </c>
      <c r="J28" s="56"/>
      <c r="K28" s="56">
        <f t="shared" si="9"/>
        <v>0</v>
      </c>
      <c r="L28" s="56"/>
      <c r="M28" s="56">
        <f t="shared" si="10"/>
        <v>0</v>
      </c>
      <c r="N28" s="56"/>
      <c r="O28" s="56">
        <f t="shared" si="11"/>
        <v>0</v>
      </c>
      <c r="P28" s="56"/>
      <c r="Q28" s="56">
        <f t="shared" si="12"/>
        <v>0</v>
      </c>
      <c r="R28" s="56"/>
      <c r="S28" s="56">
        <f t="shared" si="13"/>
        <v>0</v>
      </c>
      <c r="T28" s="56"/>
      <c r="U28" s="56">
        <f t="shared" si="14"/>
        <v>0</v>
      </c>
    </row>
    <row r="29" spans="1:21" ht="12.95" customHeight="1" x14ac:dyDescent="0.2">
      <c r="A29" s="37"/>
      <c r="B29" s="47" t="s">
        <v>22</v>
      </c>
      <c r="C29" s="66" t="s">
        <v>267</v>
      </c>
      <c r="D29" s="67"/>
      <c r="E29" s="56">
        <v>100000</v>
      </c>
      <c r="F29" s="56"/>
      <c r="G29" s="56">
        <f t="shared" si="7"/>
        <v>100000</v>
      </c>
      <c r="H29" s="56">
        <v>-49078</v>
      </c>
      <c r="I29" s="56">
        <f t="shared" si="8"/>
        <v>50922</v>
      </c>
      <c r="J29" s="56"/>
      <c r="K29" s="56">
        <f t="shared" si="9"/>
        <v>50922</v>
      </c>
      <c r="L29" s="56"/>
      <c r="M29" s="56">
        <f t="shared" si="10"/>
        <v>50922</v>
      </c>
      <c r="N29" s="56"/>
      <c r="O29" s="56">
        <f t="shared" si="11"/>
        <v>50922</v>
      </c>
      <c r="P29" s="56"/>
      <c r="Q29" s="56">
        <f t="shared" si="12"/>
        <v>50922</v>
      </c>
      <c r="R29" s="56"/>
      <c r="S29" s="56">
        <f t="shared" si="13"/>
        <v>50922</v>
      </c>
      <c r="T29" s="56"/>
      <c r="U29" s="56">
        <f t="shared" si="14"/>
        <v>50922</v>
      </c>
    </row>
    <row r="30" spans="1:21" ht="12.95" customHeight="1" x14ac:dyDescent="0.2">
      <c r="A30" s="37"/>
      <c r="B30" s="47" t="s">
        <v>22</v>
      </c>
      <c r="C30" s="66" t="s">
        <v>23</v>
      </c>
      <c r="D30" s="67"/>
      <c r="E30" s="56">
        <v>39974</v>
      </c>
      <c r="F30" s="56"/>
      <c r="G30" s="56">
        <f t="shared" si="7"/>
        <v>39974</v>
      </c>
      <c r="H30" s="56"/>
      <c r="I30" s="56">
        <f t="shared" si="8"/>
        <v>39974</v>
      </c>
      <c r="J30" s="56"/>
      <c r="K30" s="56">
        <f t="shared" si="9"/>
        <v>39974</v>
      </c>
      <c r="L30" s="56"/>
      <c r="M30" s="56">
        <f t="shared" si="10"/>
        <v>39974</v>
      </c>
      <c r="N30" s="56"/>
      <c r="O30" s="56">
        <f t="shared" si="11"/>
        <v>39974</v>
      </c>
      <c r="P30" s="56"/>
      <c r="Q30" s="56">
        <f t="shared" si="12"/>
        <v>39974</v>
      </c>
      <c r="R30" s="56"/>
      <c r="S30" s="56">
        <f t="shared" si="13"/>
        <v>39974</v>
      </c>
      <c r="T30" s="56">
        <v>-4748</v>
      </c>
      <c r="U30" s="56">
        <f t="shared" si="14"/>
        <v>35226</v>
      </c>
    </row>
    <row r="31" spans="1:21" ht="12.95" customHeight="1" x14ac:dyDescent="0.2">
      <c r="A31" s="37"/>
      <c r="B31" s="47" t="s">
        <v>24</v>
      </c>
      <c r="C31" s="66" t="s">
        <v>25</v>
      </c>
      <c r="D31" s="67"/>
      <c r="E31" s="56">
        <v>15573</v>
      </c>
      <c r="F31" s="56"/>
      <c r="G31" s="56">
        <f t="shared" si="7"/>
        <v>15573</v>
      </c>
      <c r="H31" s="56"/>
      <c r="I31" s="56">
        <f t="shared" si="8"/>
        <v>15573</v>
      </c>
      <c r="J31" s="56"/>
      <c r="K31" s="56">
        <f t="shared" si="9"/>
        <v>15573</v>
      </c>
      <c r="L31" s="56"/>
      <c r="M31" s="56">
        <f t="shared" si="10"/>
        <v>15573</v>
      </c>
      <c r="N31" s="56"/>
      <c r="O31" s="56">
        <f t="shared" si="11"/>
        <v>15573</v>
      </c>
      <c r="P31" s="56"/>
      <c r="Q31" s="56">
        <f t="shared" si="12"/>
        <v>15573</v>
      </c>
      <c r="R31" s="56"/>
      <c r="S31" s="56">
        <f t="shared" si="13"/>
        <v>15573</v>
      </c>
      <c r="T31" s="56">
        <v>-1463</v>
      </c>
      <c r="U31" s="56">
        <f t="shared" si="14"/>
        <v>14110</v>
      </c>
    </row>
    <row r="32" spans="1:21" x14ac:dyDescent="0.2">
      <c r="A32" s="37"/>
      <c r="B32" s="47" t="s">
        <v>280</v>
      </c>
      <c r="C32" s="66" t="s">
        <v>100</v>
      </c>
      <c r="D32" s="67"/>
      <c r="E32" s="56"/>
      <c r="F32" s="56"/>
      <c r="G32" s="56"/>
      <c r="H32" s="56"/>
      <c r="I32" s="56"/>
      <c r="J32" s="56"/>
      <c r="K32" s="56"/>
      <c r="L32" s="56"/>
      <c r="M32" s="56"/>
      <c r="N32" s="56">
        <f>520590-520590</f>
        <v>0</v>
      </c>
      <c r="O32" s="56">
        <f>SUM(M32:N32)</f>
        <v>0</v>
      </c>
      <c r="P32" s="56">
        <f>520590-520590</f>
        <v>0</v>
      </c>
      <c r="Q32" s="56">
        <f t="shared" si="12"/>
        <v>0</v>
      </c>
      <c r="R32" s="56"/>
      <c r="S32" s="56">
        <f t="shared" si="13"/>
        <v>0</v>
      </c>
      <c r="T32" s="56"/>
      <c r="U32" s="56">
        <f t="shared" si="14"/>
        <v>0</v>
      </c>
    </row>
    <row r="33" spans="1:21" x14ac:dyDescent="0.2">
      <c r="A33" s="37"/>
      <c r="B33" s="46" t="s">
        <v>274</v>
      </c>
      <c r="C33" s="64" t="s">
        <v>29</v>
      </c>
      <c r="D33" s="67"/>
      <c r="E33" s="56"/>
      <c r="F33" s="56"/>
      <c r="G33" s="56"/>
      <c r="H33" s="56"/>
      <c r="I33" s="56"/>
      <c r="J33" s="56"/>
      <c r="K33" s="56"/>
      <c r="L33" s="56"/>
      <c r="M33" s="56"/>
      <c r="N33" s="56">
        <f>100000-100000</f>
        <v>0</v>
      </c>
      <c r="O33" s="56">
        <f>SUM(M33:N33)</f>
        <v>0</v>
      </c>
      <c r="P33" s="56">
        <f>100000-100000</f>
        <v>0</v>
      </c>
      <c r="Q33" s="56">
        <f t="shared" si="12"/>
        <v>0</v>
      </c>
      <c r="R33" s="56"/>
      <c r="S33" s="56">
        <f t="shared" si="13"/>
        <v>0</v>
      </c>
      <c r="T33" s="56"/>
      <c r="U33" s="56">
        <f t="shared" si="14"/>
        <v>0</v>
      </c>
    </row>
    <row r="34" spans="1:21" x14ac:dyDescent="0.2">
      <c r="A34" s="37"/>
      <c r="B34" s="46" t="s">
        <v>7</v>
      </c>
      <c r="C34" s="64" t="s">
        <v>8</v>
      </c>
      <c r="D34" s="67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>
        <v>6369</v>
      </c>
      <c r="U34" s="56">
        <f t="shared" si="14"/>
        <v>6369</v>
      </c>
    </row>
    <row r="35" spans="1:21" ht="12.95" customHeight="1" x14ac:dyDescent="0.2">
      <c r="A35" s="77"/>
      <c r="B35" s="102" t="s">
        <v>5</v>
      </c>
      <c r="C35" s="107"/>
      <c r="D35" s="109">
        <v>60095</v>
      </c>
      <c r="E35" s="105">
        <f t="shared" ref="E35:K35" si="15">SUM(E36:E38)</f>
        <v>1682628</v>
      </c>
      <c r="F35" s="105">
        <f t="shared" si="15"/>
        <v>0</v>
      </c>
      <c r="G35" s="105">
        <f t="shared" si="15"/>
        <v>1682628</v>
      </c>
      <c r="H35" s="105">
        <f t="shared" si="15"/>
        <v>0</v>
      </c>
      <c r="I35" s="105">
        <f t="shared" si="15"/>
        <v>1682628</v>
      </c>
      <c r="J35" s="105">
        <f t="shared" si="15"/>
        <v>0</v>
      </c>
      <c r="K35" s="105">
        <f t="shared" si="15"/>
        <v>1682628</v>
      </c>
      <c r="L35" s="105">
        <f t="shared" ref="L35:Q35" si="16">SUM(L36:L38)</f>
        <v>0</v>
      </c>
      <c r="M35" s="105">
        <f t="shared" si="16"/>
        <v>1682628</v>
      </c>
      <c r="N35" s="105">
        <f t="shared" si="16"/>
        <v>0</v>
      </c>
      <c r="O35" s="105">
        <f t="shared" si="16"/>
        <v>1682628</v>
      </c>
      <c r="P35" s="105">
        <f t="shared" si="16"/>
        <v>0</v>
      </c>
      <c r="Q35" s="105">
        <f t="shared" si="16"/>
        <v>1682628</v>
      </c>
      <c r="R35" s="105">
        <f>SUM(R36:R38)</f>
        <v>0</v>
      </c>
      <c r="S35" s="105">
        <f>SUM(S36:S38)</f>
        <v>1682628</v>
      </c>
      <c r="T35" s="105">
        <f>SUM(T36:T38)</f>
        <v>-50000</v>
      </c>
      <c r="U35" s="105">
        <f>SUM(U36:U38)</f>
        <v>1632628</v>
      </c>
    </row>
    <row r="36" spans="1:21" ht="12.95" customHeight="1" x14ac:dyDescent="0.2">
      <c r="A36" s="38"/>
      <c r="B36" s="46" t="s">
        <v>27</v>
      </c>
      <c r="C36" s="64" t="s">
        <v>28</v>
      </c>
      <c r="D36" s="65"/>
      <c r="E36" s="55">
        <v>1622406</v>
      </c>
      <c r="F36" s="55"/>
      <c r="G36" s="55">
        <f>SUM(E36:F36)</f>
        <v>1622406</v>
      </c>
      <c r="H36" s="55"/>
      <c r="I36" s="55">
        <f>SUM(G36:H36)</f>
        <v>1622406</v>
      </c>
      <c r="J36" s="55"/>
      <c r="K36" s="55">
        <f>SUM(I36:J36)</f>
        <v>1622406</v>
      </c>
      <c r="L36" s="55"/>
      <c r="M36" s="55">
        <f>SUM(K36:L36)</f>
        <v>1622406</v>
      </c>
      <c r="N36" s="55"/>
      <c r="O36" s="55">
        <f>SUM(M36:N36)</f>
        <v>1622406</v>
      </c>
      <c r="P36" s="55"/>
      <c r="Q36" s="55">
        <f>SUM(O36:P36)</f>
        <v>1622406</v>
      </c>
      <c r="R36" s="55"/>
      <c r="S36" s="55">
        <f>SUM(Q36:R36)</f>
        <v>1622406</v>
      </c>
      <c r="T36" s="55">
        <v>-50000</v>
      </c>
      <c r="U36" s="55">
        <f>SUM(S36:T36)</f>
        <v>1572406</v>
      </c>
    </row>
    <row r="37" spans="1:21" ht="12.95" customHeight="1" x14ac:dyDescent="0.2">
      <c r="A37" s="38"/>
      <c r="B37" s="46" t="s">
        <v>13</v>
      </c>
      <c r="C37" s="64" t="s">
        <v>14</v>
      </c>
      <c r="D37" s="65"/>
      <c r="E37" s="55">
        <v>30650</v>
      </c>
      <c r="F37" s="55"/>
      <c r="G37" s="55">
        <f>SUM(E37:F37)</f>
        <v>30650</v>
      </c>
      <c r="H37" s="55"/>
      <c r="I37" s="55">
        <f>SUM(G37:H37)</f>
        <v>30650</v>
      </c>
      <c r="J37" s="55"/>
      <c r="K37" s="55">
        <f>SUM(I37:J37)</f>
        <v>30650</v>
      </c>
      <c r="L37" s="55"/>
      <c r="M37" s="55">
        <f>SUM(K37:L37)</f>
        <v>30650</v>
      </c>
      <c r="N37" s="55"/>
      <c r="O37" s="55">
        <f>SUM(M37:N37)</f>
        <v>30650</v>
      </c>
      <c r="P37" s="55"/>
      <c r="Q37" s="55">
        <f>SUM(O37:P37)</f>
        <v>30650</v>
      </c>
      <c r="R37" s="55"/>
      <c r="S37" s="55">
        <f>SUM(Q37:R37)</f>
        <v>30650</v>
      </c>
      <c r="T37" s="55"/>
      <c r="U37" s="55">
        <f>SUM(S37:T37)</f>
        <v>30650</v>
      </c>
    </row>
    <row r="38" spans="1:21" ht="12.95" customHeight="1" x14ac:dyDescent="0.2">
      <c r="A38" s="37"/>
      <c r="B38" s="47" t="s">
        <v>19</v>
      </c>
      <c r="C38" s="66" t="s">
        <v>29</v>
      </c>
      <c r="D38" s="67"/>
      <c r="E38" s="55">
        <v>29572</v>
      </c>
      <c r="F38" s="55"/>
      <c r="G38" s="55">
        <f>SUM(E38:F38)</f>
        <v>29572</v>
      </c>
      <c r="H38" s="55"/>
      <c r="I38" s="55">
        <f>SUM(G38:H38)</f>
        <v>29572</v>
      </c>
      <c r="J38" s="55"/>
      <c r="K38" s="55">
        <f>SUM(I38:J38)</f>
        <v>29572</v>
      </c>
      <c r="L38" s="55"/>
      <c r="M38" s="55">
        <f>SUM(K38:L38)</f>
        <v>29572</v>
      </c>
      <c r="N38" s="55"/>
      <c r="O38" s="55">
        <f>SUM(M38:N38)</f>
        <v>29572</v>
      </c>
      <c r="P38" s="55"/>
      <c r="Q38" s="55">
        <f>SUM(O38:P38)</f>
        <v>29572</v>
      </c>
      <c r="R38" s="55"/>
      <c r="S38" s="55">
        <f>SUM(Q38:R38)</f>
        <v>29572</v>
      </c>
      <c r="T38" s="55"/>
      <c r="U38" s="55">
        <f>SUM(S38:T38)</f>
        <v>29572</v>
      </c>
    </row>
    <row r="39" spans="1:21" ht="12.95" customHeight="1" x14ac:dyDescent="0.2">
      <c r="A39" s="90">
        <v>700</v>
      </c>
      <c r="B39" s="88" t="s">
        <v>30</v>
      </c>
      <c r="C39" s="85"/>
      <c r="D39" s="86"/>
      <c r="E39" s="89">
        <f t="shared" ref="E39:U39" si="17">SUM(E40)</f>
        <v>70005</v>
      </c>
      <c r="F39" s="89">
        <f t="shared" si="17"/>
        <v>70005</v>
      </c>
      <c r="G39" s="89">
        <f t="shared" si="17"/>
        <v>70005</v>
      </c>
      <c r="H39" s="89">
        <f t="shared" si="17"/>
        <v>70005</v>
      </c>
      <c r="I39" s="89">
        <f t="shared" si="17"/>
        <v>268333</v>
      </c>
      <c r="J39" s="89">
        <f t="shared" si="17"/>
        <v>5000</v>
      </c>
      <c r="K39" s="89">
        <f t="shared" si="17"/>
        <v>273333</v>
      </c>
      <c r="L39" s="89">
        <f t="shared" si="17"/>
        <v>0</v>
      </c>
      <c r="M39" s="89">
        <f t="shared" si="17"/>
        <v>273333</v>
      </c>
      <c r="N39" s="89">
        <f t="shared" si="17"/>
        <v>2500</v>
      </c>
      <c r="O39" s="89">
        <f t="shared" si="17"/>
        <v>275833</v>
      </c>
      <c r="P39" s="89">
        <f t="shared" si="17"/>
        <v>8250</v>
      </c>
      <c r="Q39" s="89">
        <f t="shared" si="17"/>
        <v>284083</v>
      </c>
      <c r="R39" s="89">
        <f t="shared" si="17"/>
        <v>0</v>
      </c>
      <c r="S39" s="89">
        <f t="shared" si="17"/>
        <v>284083</v>
      </c>
      <c r="T39" s="89">
        <f t="shared" si="17"/>
        <v>0</v>
      </c>
      <c r="U39" s="89">
        <f t="shared" si="17"/>
        <v>284083</v>
      </c>
    </row>
    <row r="40" spans="1:21" x14ac:dyDescent="0.2">
      <c r="A40" s="75"/>
      <c r="B40" s="102" t="s">
        <v>31</v>
      </c>
      <c r="C40" s="107"/>
      <c r="D40" s="109">
        <v>70005</v>
      </c>
      <c r="E40" s="109">
        <v>70005</v>
      </c>
      <c r="F40" s="109">
        <v>70005</v>
      </c>
      <c r="G40" s="109">
        <v>70005</v>
      </c>
      <c r="H40" s="109">
        <v>70005</v>
      </c>
      <c r="I40" s="133">
        <f t="shared" ref="I40:O40" si="18">SUM(I42:I46)</f>
        <v>268333</v>
      </c>
      <c r="J40" s="133">
        <f t="shared" si="18"/>
        <v>5000</v>
      </c>
      <c r="K40" s="133">
        <f t="shared" si="18"/>
        <v>273333</v>
      </c>
      <c r="L40" s="133">
        <f t="shared" si="18"/>
        <v>0</v>
      </c>
      <c r="M40" s="133">
        <f t="shared" si="18"/>
        <v>273333</v>
      </c>
      <c r="N40" s="133">
        <f t="shared" si="18"/>
        <v>2500</v>
      </c>
      <c r="O40" s="133">
        <f t="shared" si="18"/>
        <v>275833</v>
      </c>
      <c r="P40" s="133">
        <f t="shared" ref="P40:U40" si="19">SUM(P42:P46)</f>
        <v>8250</v>
      </c>
      <c r="Q40" s="133">
        <f t="shared" si="19"/>
        <v>284083</v>
      </c>
      <c r="R40" s="133">
        <f t="shared" si="19"/>
        <v>0</v>
      </c>
      <c r="S40" s="133">
        <f t="shared" si="19"/>
        <v>284083</v>
      </c>
      <c r="T40" s="133">
        <f t="shared" si="19"/>
        <v>0</v>
      </c>
      <c r="U40" s="133">
        <f t="shared" si="19"/>
        <v>284083</v>
      </c>
    </row>
    <row r="41" spans="1:21" hidden="1" x14ac:dyDescent="0.2">
      <c r="A41" s="36"/>
      <c r="B41" s="48" t="s">
        <v>32</v>
      </c>
      <c r="C41" s="66" t="s">
        <v>33</v>
      </c>
      <c r="D41" s="67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</row>
    <row r="42" spans="1:21" x14ac:dyDescent="0.2">
      <c r="A42" s="36"/>
      <c r="B42" s="48" t="s">
        <v>7</v>
      </c>
      <c r="C42" s="66" t="s">
        <v>8</v>
      </c>
      <c r="D42" s="67"/>
      <c r="E42" s="57"/>
      <c r="F42" s="57"/>
      <c r="G42" s="57"/>
      <c r="H42" s="57"/>
      <c r="I42" s="57"/>
      <c r="J42" s="57">
        <v>1500</v>
      </c>
      <c r="K42" s="57">
        <f>SUM(I42:J42)</f>
        <v>1500</v>
      </c>
      <c r="L42" s="57"/>
      <c r="M42" s="57">
        <f>SUM(K42:L42)</f>
        <v>1500</v>
      </c>
      <c r="N42" s="57">
        <v>2500</v>
      </c>
      <c r="O42" s="57">
        <f>SUM(M42:N42)</f>
        <v>4000</v>
      </c>
      <c r="P42" s="57">
        <v>950</v>
      </c>
      <c r="Q42" s="57">
        <f>SUM(O42:P42)</f>
        <v>4950</v>
      </c>
      <c r="R42" s="57"/>
      <c r="S42" s="57">
        <f>SUM(Q42:R42)</f>
        <v>4950</v>
      </c>
      <c r="T42" s="57"/>
      <c r="U42" s="57">
        <f>SUM(S42:T42)</f>
        <v>4950</v>
      </c>
    </row>
    <row r="43" spans="1:21" ht="12.95" customHeight="1" x14ac:dyDescent="0.2">
      <c r="A43" s="36"/>
      <c r="B43" s="47" t="s">
        <v>34</v>
      </c>
      <c r="C43" s="66" t="s">
        <v>35</v>
      </c>
      <c r="D43" s="67"/>
      <c r="E43" s="58">
        <v>244333</v>
      </c>
      <c r="F43" s="58"/>
      <c r="G43" s="58">
        <f>SUM(E43:F43)</f>
        <v>244333</v>
      </c>
      <c r="H43" s="58"/>
      <c r="I43" s="58">
        <f>SUM(G43:H43)</f>
        <v>244333</v>
      </c>
      <c r="J43" s="58"/>
      <c r="K43" s="58">
        <f>SUM(I43:J43)</f>
        <v>244333</v>
      </c>
      <c r="L43" s="58"/>
      <c r="M43" s="58">
        <f>SUM(K43:L43)</f>
        <v>244333</v>
      </c>
      <c r="N43" s="58"/>
      <c r="O43" s="58">
        <f>SUM(M43:N43)</f>
        <v>244333</v>
      </c>
      <c r="P43" s="58"/>
      <c r="Q43" s="58">
        <f>SUM(O43:P43)</f>
        <v>244333</v>
      </c>
      <c r="R43" s="58"/>
      <c r="S43" s="58">
        <f>SUM(Q43:R43)</f>
        <v>244333</v>
      </c>
      <c r="T43" s="58"/>
      <c r="U43" s="58">
        <f>SUM(S43:T43)</f>
        <v>244333</v>
      </c>
    </row>
    <row r="44" spans="1:21" x14ac:dyDescent="0.2">
      <c r="A44" s="36"/>
      <c r="B44" s="47" t="s">
        <v>36</v>
      </c>
      <c r="C44" s="66" t="s">
        <v>37</v>
      </c>
      <c r="D44" s="67"/>
      <c r="E44" s="55">
        <v>24000</v>
      </c>
      <c r="F44" s="55"/>
      <c r="G44" s="58">
        <f>SUM(E44:F44)</f>
        <v>24000</v>
      </c>
      <c r="H44" s="55"/>
      <c r="I44" s="58">
        <f>SUM(G44:H44)</f>
        <v>24000</v>
      </c>
      <c r="J44" s="55"/>
      <c r="K44" s="58">
        <f>SUM(I44:J44)</f>
        <v>24000</v>
      </c>
      <c r="L44" s="55"/>
      <c r="M44" s="58">
        <f>SUM(K44:L44)</f>
        <v>24000</v>
      </c>
      <c r="N44" s="55"/>
      <c r="O44" s="58">
        <f>SUM(M44:N44)</f>
        <v>24000</v>
      </c>
      <c r="P44" s="55"/>
      <c r="Q44" s="58">
        <f>SUM(O44:P44)</f>
        <v>24000</v>
      </c>
      <c r="R44" s="55"/>
      <c r="S44" s="58">
        <f>SUM(Q44:R44)</f>
        <v>24000</v>
      </c>
      <c r="T44" s="55"/>
      <c r="U44" s="58">
        <f>SUM(S44:T44)</f>
        <v>24000</v>
      </c>
    </row>
    <row r="45" spans="1:21" x14ac:dyDescent="0.2">
      <c r="A45" s="36"/>
      <c r="B45" s="47" t="s">
        <v>19</v>
      </c>
      <c r="C45" s="66" t="s">
        <v>20</v>
      </c>
      <c r="D45" s="67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>
        <v>7300</v>
      </c>
      <c r="Q45" s="55">
        <f>SUM(O45:P45)</f>
        <v>7300</v>
      </c>
      <c r="R45" s="55"/>
      <c r="S45" s="55">
        <f>SUM(Q45:R45)</f>
        <v>7300</v>
      </c>
      <c r="T45" s="55"/>
      <c r="U45" s="55">
        <f>SUM(S45:T45)</f>
        <v>7300</v>
      </c>
    </row>
    <row r="46" spans="1:21" x14ac:dyDescent="0.2">
      <c r="A46" s="36"/>
      <c r="B46" s="47" t="s">
        <v>19</v>
      </c>
      <c r="C46" s="66" t="s">
        <v>29</v>
      </c>
      <c r="D46" s="67"/>
      <c r="E46" s="55"/>
      <c r="F46" s="55"/>
      <c r="G46" s="55"/>
      <c r="H46" s="55"/>
      <c r="I46" s="55"/>
      <c r="J46" s="55">
        <v>3500</v>
      </c>
      <c r="K46" s="55">
        <f>SUM(I46:J46)</f>
        <v>3500</v>
      </c>
      <c r="L46" s="55"/>
      <c r="M46" s="55">
        <f>SUM(K46:L46)</f>
        <v>3500</v>
      </c>
      <c r="N46" s="55"/>
      <c r="O46" s="55">
        <f>SUM(M46:N46)</f>
        <v>3500</v>
      </c>
      <c r="P46" s="55"/>
      <c r="Q46" s="55">
        <f>SUM(O46:P46)</f>
        <v>3500</v>
      </c>
      <c r="R46" s="55"/>
      <c r="S46" s="55">
        <f>SUM(Q46:R46)</f>
        <v>3500</v>
      </c>
      <c r="T46" s="55"/>
      <c r="U46" s="55">
        <f>SUM(S46:T46)</f>
        <v>3500</v>
      </c>
    </row>
    <row r="47" spans="1:21" ht="12.95" customHeight="1" x14ac:dyDescent="0.2">
      <c r="A47" s="90">
        <v>710</v>
      </c>
      <c r="B47" s="88" t="s">
        <v>38</v>
      </c>
      <c r="C47" s="91"/>
      <c r="D47" s="86"/>
      <c r="E47" s="89">
        <f t="shared" ref="E47:K47" si="20">SUM(E48+E50+E54+E57)</f>
        <v>744360</v>
      </c>
      <c r="F47" s="89">
        <f t="shared" si="20"/>
        <v>0</v>
      </c>
      <c r="G47" s="89">
        <f t="shared" si="20"/>
        <v>744360</v>
      </c>
      <c r="H47" s="89">
        <f t="shared" si="20"/>
        <v>51273</v>
      </c>
      <c r="I47" s="89">
        <f t="shared" si="20"/>
        <v>795633</v>
      </c>
      <c r="J47" s="89">
        <f t="shared" si="20"/>
        <v>0</v>
      </c>
      <c r="K47" s="89">
        <f t="shared" si="20"/>
        <v>795633</v>
      </c>
      <c r="L47" s="89">
        <f t="shared" ref="L47:Q47" si="21">SUM(L48+L50+L54+L57)</f>
        <v>57750</v>
      </c>
      <c r="M47" s="89">
        <f t="shared" si="21"/>
        <v>853383</v>
      </c>
      <c r="N47" s="89">
        <f t="shared" si="21"/>
        <v>0</v>
      </c>
      <c r="O47" s="89">
        <f t="shared" si="21"/>
        <v>853383</v>
      </c>
      <c r="P47" s="89">
        <f t="shared" si="21"/>
        <v>37114</v>
      </c>
      <c r="Q47" s="89">
        <f t="shared" si="21"/>
        <v>890497</v>
      </c>
      <c r="R47" s="89">
        <f>SUM(R48+R50+R54+R57)</f>
        <v>0</v>
      </c>
      <c r="S47" s="89">
        <f>SUM(S48+S50+S54+S57)</f>
        <v>890497</v>
      </c>
      <c r="T47" s="89">
        <f>SUM(T48+T50+T54+T57)</f>
        <v>0</v>
      </c>
      <c r="U47" s="89">
        <f>SUM(U48+U50+U54+U57)</f>
        <v>890497</v>
      </c>
    </row>
    <row r="48" spans="1:21" ht="12.95" customHeight="1" x14ac:dyDescent="0.2">
      <c r="A48" s="77"/>
      <c r="B48" s="102" t="s">
        <v>39</v>
      </c>
      <c r="C48" s="107"/>
      <c r="D48" s="109">
        <v>71013</v>
      </c>
      <c r="E48" s="105">
        <f t="shared" ref="E48:U48" si="22">SUM(E49)</f>
        <v>91000</v>
      </c>
      <c r="F48" s="105">
        <f t="shared" si="22"/>
        <v>0</v>
      </c>
      <c r="G48" s="105">
        <f t="shared" si="22"/>
        <v>91000</v>
      </c>
      <c r="H48" s="105">
        <f t="shared" si="22"/>
        <v>0</v>
      </c>
      <c r="I48" s="105">
        <f t="shared" si="22"/>
        <v>91000</v>
      </c>
      <c r="J48" s="105">
        <f t="shared" si="22"/>
        <v>0</v>
      </c>
      <c r="K48" s="105">
        <f t="shared" si="22"/>
        <v>91000</v>
      </c>
      <c r="L48" s="105">
        <f t="shared" si="22"/>
        <v>58000</v>
      </c>
      <c r="M48" s="105">
        <f t="shared" si="22"/>
        <v>149000</v>
      </c>
      <c r="N48" s="105">
        <f t="shared" si="22"/>
        <v>0</v>
      </c>
      <c r="O48" s="105">
        <f t="shared" si="22"/>
        <v>149000</v>
      </c>
      <c r="P48" s="105">
        <f t="shared" si="22"/>
        <v>0</v>
      </c>
      <c r="Q48" s="105">
        <f t="shared" si="22"/>
        <v>149000</v>
      </c>
      <c r="R48" s="105">
        <f t="shared" si="22"/>
        <v>0</v>
      </c>
      <c r="S48" s="105">
        <f t="shared" si="22"/>
        <v>149000</v>
      </c>
      <c r="T48" s="105">
        <f t="shared" si="22"/>
        <v>0</v>
      </c>
      <c r="U48" s="105">
        <f t="shared" si="22"/>
        <v>149000</v>
      </c>
    </row>
    <row r="49" spans="1:21" ht="12.95" customHeight="1" x14ac:dyDescent="0.2">
      <c r="A49" s="37"/>
      <c r="B49" s="47" t="s">
        <v>40</v>
      </c>
      <c r="C49" s="66" t="s">
        <v>37</v>
      </c>
      <c r="D49" s="67"/>
      <c r="E49" s="55">
        <v>91000</v>
      </c>
      <c r="F49" s="55"/>
      <c r="G49" s="55">
        <f>SUM(E49:F49)</f>
        <v>91000</v>
      </c>
      <c r="H49" s="55"/>
      <c r="I49" s="55">
        <f>SUM(G49:H49)</f>
        <v>91000</v>
      </c>
      <c r="J49" s="55"/>
      <c r="K49" s="55">
        <f>SUM(I49:J49)</f>
        <v>91000</v>
      </c>
      <c r="L49" s="55">
        <v>58000</v>
      </c>
      <c r="M49" s="55">
        <f>SUM(K49:L49)</f>
        <v>149000</v>
      </c>
      <c r="N49" s="55"/>
      <c r="O49" s="55">
        <f>SUM(M49:N49)</f>
        <v>149000</v>
      </c>
      <c r="P49" s="55"/>
      <c r="Q49" s="55">
        <f>SUM(O49:P49)</f>
        <v>149000</v>
      </c>
      <c r="R49" s="55"/>
      <c r="S49" s="55">
        <f>SUM(Q49:R49)</f>
        <v>149000</v>
      </c>
      <c r="T49" s="55"/>
      <c r="U49" s="55">
        <f>SUM(S49:T49)</f>
        <v>149000</v>
      </c>
    </row>
    <row r="50" spans="1:21" ht="12.95" customHeight="1" x14ac:dyDescent="0.2">
      <c r="A50" s="77"/>
      <c r="B50" s="102" t="s">
        <v>41</v>
      </c>
      <c r="C50" s="107"/>
      <c r="D50" s="109">
        <v>71015</v>
      </c>
      <c r="E50" s="105">
        <f t="shared" ref="E50:K50" si="23">SUM(E51:E53)</f>
        <v>287360</v>
      </c>
      <c r="F50" s="105">
        <f t="shared" si="23"/>
        <v>0</v>
      </c>
      <c r="G50" s="105">
        <f t="shared" si="23"/>
        <v>287360</v>
      </c>
      <c r="H50" s="105">
        <f t="shared" si="23"/>
        <v>0</v>
      </c>
      <c r="I50" s="105">
        <f t="shared" si="23"/>
        <v>287360</v>
      </c>
      <c r="J50" s="105">
        <f t="shared" si="23"/>
        <v>0</v>
      </c>
      <c r="K50" s="105">
        <f t="shared" si="23"/>
        <v>287360</v>
      </c>
      <c r="L50" s="105">
        <f t="shared" ref="L50:Q50" si="24">SUM(L51:L53)</f>
        <v>-250</v>
      </c>
      <c r="M50" s="105">
        <f t="shared" si="24"/>
        <v>287110</v>
      </c>
      <c r="N50" s="105">
        <f t="shared" si="24"/>
        <v>0</v>
      </c>
      <c r="O50" s="105">
        <f t="shared" si="24"/>
        <v>287110</v>
      </c>
      <c r="P50" s="105">
        <f t="shared" si="24"/>
        <v>0</v>
      </c>
      <c r="Q50" s="105">
        <f t="shared" si="24"/>
        <v>287110</v>
      </c>
      <c r="R50" s="105">
        <f>SUM(R51:R53)</f>
        <v>0</v>
      </c>
      <c r="S50" s="105">
        <f>SUM(S51:S53)</f>
        <v>287110</v>
      </c>
      <c r="T50" s="105">
        <f>SUM(T51:T53)</f>
        <v>0</v>
      </c>
      <c r="U50" s="105">
        <f>SUM(U51:U53)</f>
        <v>287110</v>
      </c>
    </row>
    <row r="51" spans="1:21" ht="12.95" customHeight="1" x14ac:dyDescent="0.2">
      <c r="A51" s="37"/>
      <c r="B51" s="47" t="s">
        <v>34</v>
      </c>
      <c r="C51" s="66" t="s">
        <v>35</v>
      </c>
      <c r="D51" s="67"/>
      <c r="E51" s="55">
        <v>160</v>
      </c>
      <c r="F51" s="55"/>
      <c r="G51" s="55">
        <f>SUM(E51:F51)</f>
        <v>160</v>
      </c>
      <c r="H51" s="55"/>
      <c r="I51" s="55">
        <f>SUM(G51:H51)</f>
        <v>160</v>
      </c>
      <c r="J51" s="55"/>
      <c r="K51" s="55">
        <f>SUM(I51:J51)</f>
        <v>160</v>
      </c>
      <c r="L51" s="55"/>
      <c r="M51" s="55">
        <f>SUM(K51:L51)</f>
        <v>160</v>
      </c>
      <c r="N51" s="55"/>
      <c r="O51" s="55">
        <f>SUM(M51:N51)</f>
        <v>160</v>
      </c>
      <c r="P51" s="55"/>
      <c r="Q51" s="55">
        <f>SUM(O51:P51)</f>
        <v>160</v>
      </c>
      <c r="R51" s="55"/>
      <c r="S51" s="55">
        <f>SUM(Q51:R51)</f>
        <v>160</v>
      </c>
      <c r="T51" s="55"/>
      <c r="U51" s="55">
        <f>SUM(S51:T51)</f>
        <v>160</v>
      </c>
    </row>
    <row r="52" spans="1:21" ht="12.95" hidden="1" customHeight="1" x14ac:dyDescent="0.2">
      <c r="A52" s="37"/>
      <c r="B52" s="47" t="s">
        <v>42</v>
      </c>
      <c r="C52" s="66" t="s">
        <v>43</v>
      </c>
      <c r="D52" s="67"/>
      <c r="E52" s="55"/>
      <c r="F52" s="55"/>
      <c r="G52" s="55">
        <f>SUM(E52:F52)</f>
        <v>0</v>
      </c>
      <c r="H52" s="55"/>
      <c r="I52" s="55">
        <f>SUM(G52:H52)</f>
        <v>0</v>
      </c>
      <c r="J52" s="55"/>
      <c r="K52" s="55">
        <f>SUM(I52:J52)</f>
        <v>0</v>
      </c>
      <c r="L52" s="55"/>
      <c r="M52" s="55">
        <f>SUM(K52:L52)</f>
        <v>0</v>
      </c>
      <c r="N52" s="55"/>
      <c r="O52" s="55">
        <f>SUM(M52:N52)</f>
        <v>0</v>
      </c>
      <c r="P52" s="55"/>
      <c r="Q52" s="55">
        <f>SUM(O52:P52)</f>
        <v>0</v>
      </c>
      <c r="R52" s="55"/>
      <c r="S52" s="55">
        <f>SUM(Q52:R52)</f>
        <v>0</v>
      </c>
      <c r="T52" s="55"/>
      <c r="U52" s="55">
        <f>SUM(S52:T52)</f>
        <v>0</v>
      </c>
    </row>
    <row r="53" spans="1:21" ht="12.95" customHeight="1" x14ac:dyDescent="0.2">
      <c r="A53" s="37"/>
      <c r="B53" s="47" t="s">
        <v>40</v>
      </c>
      <c r="C53" s="66" t="s">
        <v>37</v>
      </c>
      <c r="D53" s="67"/>
      <c r="E53" s="55">
        <v>287200</v>
      </c>
      <c r="F53" s="55"/>
      <c r="G53" s="55">
        <f>SUM(E53:F53)</f>
        <v>287200</v>
      </c>
      <c r="H53" s="55"/>
      <c r="I53" s="55">
        <f>SUM(G53:H53)</f>
        <v>287200</v>
      </c>
      <c r="J53" s="55"/>
      <c r="K53" s="55">
        <f>SUM(I53:J53)</f>
        <v>287200</v>
      </c>
      <c r="L53" s="55">
        <v>-250</v>
      </c>
      <c r="M53" s="55">
        <f>SUM(K53:L53)</f>
        <v>286950</v>
      </c>
      <c r="N53" s="55"/>
      <c r="O53" s="55">
        <f>SUM(M53:N53)</f>
        <v>286950</v>
      </c>
      <c r="P53" s="55"/>
      <c r="Q53" s="55">
        <f>SUM(O53:P53)</f>
        <v>286950</v>
      </c>
      <c r="R53" s="55"/>
      <c r="S53" s="55">
        <f>SUM(Q53:R53)</f>
        <v>286950</v>
      </c>
      <c r="T53" s="55"/>
      <c r="U53" s="55">
        <f>SUM(S53:T53)</f>
        <v>286950</v>
      </c>
    </row>
    <row r="54" spans="1:21" x14ac:dyDescent="0.2">
      <c r="A54" s="77"/>
      <c r="B54" s="102" t="s">
        <v>44</v>
      </c>
      <c r="C54" s="107"/>
      <c r="D54" s="109">
        <v>71020</v>
      </c>
      <c r="E54" s="105">
        <f t="shared" ref="E54:K54" si="25">SUM(E55:E56)</f>
        <v>16000</v>
      </c>
      <c r="F54" s="105">
        <f t="shared" si="25"/>
        <v>0</v>
      </c>
      <c r="G54" s="105">
        <f t="shared" si="25"/>
        <v>16000</v>
      </c>
      <c r="H54" s="105">
        <f t="shared" si="25"/>
        <v>51273</v>
      </c>
      <c r="I54" s="105">
        <f t="shared" si="25"/>
        <v>67273</v>
      </c>
      <c r="J54" s="105">
        <f t="shared" si="25"/>
        <v>0</v>
      </c>
      <c r="K54" s="105">
        <f t="shared" si="25"/>
        <v>67273</v>
      </c>
      <c r="L54" s="105">
        <f t="shared" ref="L54:Q54" si="26">SUM(L55:L56)</f>
        <v>0</v>
      </c>
      <c r="M54" s="105">
        <f t="shared" si="26"/>
        <v>67273</v>
      </c>
      <c r="N54" s="105">
        <f t="shared" si="26"/>
        <v>0</v>
      </c>
      <c r="O54" s="105">
        <f t="shared" si="26"/>
        <v>67273</v>
      </c>
      <c r="P54" s="105">
        <f t="shared" si="26"/>
        <v>0</v>
      </c>
      <c r="Q54" s="105">
        <f t="shared" si="26"/>
        <v>67273</v>
      </c>
      <c r="R54" s="105">
        <f>SUM(R55:R56)</f>
        <v>0</v>
      </c>
      <c r="S54" s="105">
        <f>SUM(S55:S56)</f>
        <v>67273</v>
      </c>
      <c r="T54" s="105">
        <f>SUM(T55:T56)</f>
        <v>0</v>
      </c>
      <c r="U54" s="105">
        <f>SUM(U55:U56)</f>
        <v>67273</v>
      </c>
    </row>
    <row r="55" spans="1:21" x14ac:dyDescent="0.2">
      <c r="A55" s="37"/>
      <c r="B55" s="48" t="s">
        <v>273</v>
      </c>
      <c r="C55" s="66" t="s">
        <v>85</v>
      </c>
      <c r="D55" s="67"/>
      <c r="E55" s="54"/>
      <c r="F55" s="54"/>
      <c r="G55" s="54"/>
      <c r="H55" s="55">
        <v>51273</v>
      </c>
      <c r="I55" s="55">
        <f>SUM(G55:H55)</f>
        <v>51273</v>
      </c>
      <c r="J55" s="55"/>
      <c r="K55" s="55">
        <f>SUM(I55:J55)</f>
        <v>51273</v>
      </c>
      <c r="L55" s="55"/>
      <c r="M55" s="55">
        <f>SUM(K55:L55)</f>
        <v>51273</v>
      </c>
      <c r="N55" s="55"/>
      <c r="O55" s="55">
        <f>SUM(M55:N55)</f>
        <v>51273</v>
      </c>
      <c r="P55" s="55"/>
      <c r="Q55" s="55">
        <f>SUM(O55:P55)</f>
        <v>51273</v>
      </c>
      <c r="R55" s="55"/>
      <c r="S55" s="55">
        <f>SUM(Q55:R55)</f>
        <v>51273</v>
      </c>
      <c r="T55" s="55"/>
      <c r="U55" s="55">
        <f>SUM(S55:T55)</f>
        <v>51273</v>
      </c>
    </row>
    <row r="56" spans="1:21" ht="12.95" customHeight="1" x14ac:dyDescent="0.2">
      <c r="A56" s="37"/>
      <c r="B56" s="48" t="s">
        <v>7</v>
      </c>
      <c r="C56" s="66" t="s">
        <v>8</v>
      </c>
      <c r="D56" s="67"/>
      <c r="E56" s="55">
        <v>16000</v>
      </c>
      <c r="F56" s="55"/>
      <c r="G56" s="55">
        <f>SUM(E56:F56)</f>
        <v>16000</v>
      </c>
      <c r="H56" s="55"/>
      <c r="I56" s="55">
        <f>SUM(G56:H56)</f>
        <v>16000</v>
      </c>
      <c r="J56" s="55"/>
      <c r="K56" s="55">
        <f>SUM(I56:J56)</f>
        <v>16000</v>
      </c>
      <c r="L56" s="55"/>
      <c r="M56" s="55">
        <f>SUM(K56:L56)</f>
        <v>16000</v>
      </c>
      <c r="N56" s="55"/>
      <c r="O56" s="55">
        <f>SUM(M56:N56)</f>
        <v>16000</v>
      </c>
      <c r="P56" s="55"/>
      <c r="Q56" s="55">
        <f>SUM(O56:P56)</f>
        <v>16000</v>
      </c>
      <c r="R56" s="55"/>
      <c r="S56" s="55">
        <f>SUM(Q56:R56)</f>
        <v>16000</v>
      </c>
      <c r="T56" s="55"/>
      <c r="U56" s="55">
        <f>SUM(S56:T56)</f>
        <v>16000</v>
      </c>
    </row>
    <row r="57" spans="1:21" ht="12.95" customHeight="1" x14ac:dyDescent="0.2">
      <c r="A57" s="77"/>
      <c r="B57" s="102" t="s">
        <v>47</v>
      </c>
      <c r="C57" s="107"/>
      <c r="D57" s="109">
        <v>71095</v>
      </c>
      <c r="E57" s="105">
        <f t="shared" ref="E57:K57" si="27">SUM(E58:E60)</f>
        <v>350000</v>
      </c>
      <c r="F57" s="105">
        <f t="shared" si="27"/>
        <v>0</v>
      </c>
      <c r="G57" s="105">
        <f t="shared" si="27"/>
        <v>350000</v>
      </c>
      <c r="H57" s="105">
        <f t="shared" si="27"/>
        <v>0</v>
      </c>
      <c r="I57" s="105">
        <f t="shared" si="27"/>
        <v>350000</v>
      </c>
      <c r="J57" s="105">
        <f t="shared" si="27"/>
        <v>0</v>
      </c>
      <c r="K57" s="105">
        <f t="shared" si="27"/>
        <v>350000</v>
      </c>
      <c r="L57" s="105">
        <f t="shared" ref="L57:Q57" si="28">SUM(L58:L60)</f>
        <v>0</v>
      </c>
      <c r="M57" s="105">
        <f t="shared" si="28"/>
        <v>350000</v>
      </c>
      <c r="N57" s="105">
        <f t="shared" si="28"/>
        <v>0</v>
      </c>
      <c r="O57" s="105">
        <f t="shared" si="28"/>
        <v>350000</v>
      </c>
      <c r="P57" s="105">
        <f t="shared" si="28"/>
        <v>37114</v>
      </c>
      <c r="Q57" s="105">
        <f t="shared" si="28"/>
        <v>387114</v>
      </c>
      <c r="R57" s="105">
        <f>SUM(R58:R60)</f>
        <v>0</v>
      </c>
      <c r="S57" s="105">
        <f>SUM(S58:S60)</f>
        <v>387114</v>
      </c>
      <c r="T57" s="105">
        <f>SUM(T58:T60)</f>
        <v>0</v>
      </c>
      <c r="U57" s="105">
        <f>SUM(U58:U60)</f>
        <v>387114</v>
      </c>
    </row>
    <row r="58" spans="1:21" x14ac:dyDescent="0.2">
      <c r="A58" s="37"/>
      <c r="B58" s="48" t="s">
        <v>48</v>
      </c>
      <c r="C58" s="66" t="s">
        <v>49</v>
      </c>
      <c r="D58" s="67"/>
      <c r="E58" s="55">
        <v>350000</v>
      </c>
      <c r="F58" s="55"/>
      <c r="G58" s="55">
        <f>SUM(E58:F58)</f>
        <v>350000</v>
      </c>
      <c r="H58" s="55"/>
      <c r="I58" s="55">
        <f>SUM(G58:H58)</f>
        <v>350000</v>
      </c>
      <c r="J58" s="55"/>
      <c r="K58" s="55">
        <f>SUM(I58:J58)</f>
        <v>350000</v>
      </c>
      <c r="L58" s="55"/>
      <c r="M58" s="55">
        <f>SUM(K58:L58)</f>
        <v>350000</v>
      </c>
      <c r="N58" s="55"/>
      <c r="O58" s="55">
        <f>SUM(M58:N58)</f>
        <v>350000</v>
      </c>
      <c r="P58" s="55">
        <v>37000</v>
      </c>
      <c r="Q58" s="55">
        <f>SUM(O58:P58)</f>
        <v>387000</v>
      </c>
      <c r="R58" s="55"/>
      <c r="S58" s="55">
        <f>SUM(Q58:R58)</f>
        <v>387000</v>
      </c>
      <c r="T58" s="55"/>
      <c r="U58" s="55">
        <f>SUM(S58:T58)</f>
        <v>387000</v>
      </c>
    </row>
    <row r="59" spans="1:21" x14ac:dyDescent="0.2">
      <c r="A59" s="37"/>
      <c r="B59" s="48" t="s">
        <v>42</v>
      </c>
      <c r="C59" s="66" t="s">
        <v>43</v>
      </c>
      <c r="D59" s="67"/>
      <c r="E59" s="55"/>
      <c r="F59" s="55"/>
      <c r="G59" s="55">
        <f>SUM(E59:F59)</f>
        <v>0</v>
      </c>
      <c r="H59" s="55"/>
      <c r="I59" s="55">
        <f>SUM(G59:H59)</f>
        <v>0</v>
      </c>
      <c r="J59" s="55"/>
      <c r="K59" s="55">
        <f>SUM(I59:J59)</f>
        <v>0</v>
      </c>
      <c r="L59" s="55"/>
      <c r="M59" s="55">
        <f>SUM(K59:L59)</f>
        <v>0</v>
      </c>
      <c r="N59" s="55"/>
      <c r="O59" s="55">
        <f>SUM(M59:N59)</f>
        <v>0</v>
      </c>
      <c r="P59" s="55">
        <v>17</v>
      </c>
      <c r="Q59" s="55">
        <f>SUM(O59:P59)</f>
        <v>17</v>
      </c>
      <c r="R59" s="55"/>
      <c r="S59" s="55">
        <f>SUM(Q59:R59)</f>
        <v>17</v>
      </c>
      <c r="T59" s="55"/>
      <c r="U59" s="55">
        <f>SUM(S59:T59)</f>
        <v>17</v>
      </c>
    </row>
    <row r="60" spans="1:21" x14ac:dyDescent="0.2">
      <c r="A60" s="37"/>
      <c r="B60" s="46" t="s">
        <v>7</v>
      </c>
      <c r="C60" s="66" t="s">
        <v>8</v>
      </c>
      <c r="D60" s="67"/>
      <c r="E60" s="55"/>
      <c r="F60" s="55"/>
      <c r="G60" s="55">
        <f>SUM(E60:F60)</f>
        <v>0</v>
      </c>
      <c r="H60" s="55"/>
      <c r="I60" s="55">
        <f>SUM(G60:H60)</f>
        <v>0</v>
      </c>
      <c r="J60" s="55"/>
      <c r="K60" s="55">
        <f>SUM(I60:J60)</f>
        <v>0</v>
      </c>
      <c r="L60" s="55"/>
      <c r="M60" s="55">
        <f>SUM(K60:L60)</f>
        <v>0</v>
      </c>
      <c r="N60" s="55"/>
      <c r="O60" s="55">
        <f>SUM(M60:N60)</f>
        <v>0</v>
      </c>
      <c r="P60" s="55">
        <v>97</v>
      </c>
      <c r="Q60" s="55">
        <f>SUM(O60:P60)</f>
        <v>97</v>
      </c>
      <c r="R60" s="55"/>
      <c r="S60" s="55">
        <f>SUM(Q60:R60)</f>
        <v>97</v>
      </c>
      <c r="T60" s="55"/>
      <c r="U60" s="55">
        <f>SUM(S60:T60)</f>
        <v>97</v>
      </c>
    </row>
    <row r="61" spans="1:21" ht="12.95" customHeight="1" x14ac:dyDescent="0.2">
      <c r="A61" s="90">
        <v>750</v>
      </c>
      <c r="B61" s="88" t="s">
        <v>50</v>
      </c>
      <c r="C61" s="85"/>
      <c r="D61" s="86"/>
      <c r="E61" s="89">
        <f t="shared" ref="E61:K61" si="29">SUM(E62+E64+E66+E70)</f>
        <v>348063</v>
      </c>
      <c r="F61" s="89">
        <f t="shared" si="29"/>
        <v>0</v>
      </c>
      <c r="G61" s="89">
        <f t="shared" si="29"/>
        <v>348063</v>
      </c>
      <c r="H61" s="89">
        <f t="shared" si="29"/>
        <v>58756</v>
      </c>
      <c r="I61" s="89">
        <f t="shared" si="29"/>
        <v>406819</v>
      </c>
      <c r="J61" s="89">
        <f t="shared" si="29"/>
        <v>0</v>
      </c>
      <c r="K61" s="89">
        <f t="shared" si="29"/>
        <v>406819</v>
      </c>
      <c r="L61" s="89">
        <f t="shared" ref="L61:Q61" si="30">SUM(L62+L64+L66+L70)</f>
        <v>0</v>
      </c>
      <c r="M61" s="89">
        <f t="shared" si="30"/>
        <v>406819</v>
      </c>
      <c r="N61" s="89">
        <f t="shared" si="30"/>
        <v>0</v>
      </c>
      <c r="O61" s="89">
        <f t="shared" si="30"/>
        <v>406819</v>
      </c>
      <c r="P61" s="89">
        <f t="shared" si="30"/>
        <v>10000</v>
      </c>
      <c r="Q61" s="89">
        <f t="shared" si="30"/>
        <v>416819</v>
      </c>
      <c r="R61" s="89">
        <f>SUM(R62+R64+R66+R70)</f>
        <v>0</v>
      </c>
      <c r="S61" s="89">
        <f>SUM(S62+S64+S66+S70)</f>
        <v>416819</v>
      </c>
      <c r="T61" s="89">
        <f>SUM(T62+T64+T66+T70)</f>
        <v>0</v>
      </c>
      <c r="U61" s="89">
        <f>SUM(U62+U64+U66+U70)</f>
        <v>416819</v>
      </c>
    </row>
    <row r="62" spans="1:21" ht="12.95" customHeight="1" x14ac:dyDescent="0.2">
      <c r="A62" s="77"/>
      <c r="B62" s="102" t="s">
        <v>51</v>
      </c>
      <c r="C62" s="107"/>
      <c r="D62" s="109">
        <v>75011</v>
      </c>
      <c r="E62" s="105">
        <f t="shared" ref="E62:U62" si="31">SUM(E63)</f>
        <v>162572</v>
      </c>
      <c r="F62" s="105">
        <f t="shared" si="31"/>
        <v>0</v>
      </c>
      <c r="G62" s="105">
        <f t="shared" si="31"/>
        <v>162572</v>
      </c>
      <c r="H62" s="105">
        <f t="shared" si="31"/>
        <v>0</v>
      </c>
      <c r="I62" s="105">
        <f t="shared" si="31"/>
        <v>162572</v>
      </c>
      <c r="J62" s="105">
        <f t="shared" si="31"/>
        <v>0</v>
      </c>
      <c r="K62" s="105">
        <f t="shared" si="31"/>
        <v>162572</v>
      </c>
      <c r="L62" s="105">
        <f t="shared" si="31"/>
        <v>0</v>
      </c>
      <c r="M62" s="105">
        <f t="shared" si="31"/>
        <v>162572</v>
      </c>
      <c r="N62" s="105">
        <f t="shared" si="31"/>
        <v>0</v>
      </c>
      <c r="O62" s="105">
        <f t="shared" si="31"/>
        <v>162572</v>
      </c>
      <c r="P62" s="105">
        <f t="shared" si="31"/>
        <v>0</v>
      </c>
      <c r="Q62" s="105">
        <f t="shared" si="31"/>
        <v>162572</v>
      </c>
      <c r="R62" s="105">
        <f t="shared" si="31"/>
        <v>0</v>
      </c>
      <c r="S62" s="105">
        <f t="shared" si="31"/>
        <v>162572</v>
      </c>
      <c r="T62" s="105">
        <f t="shared" si="31"/>
        <v>0</v>
      </c>
      <c r="U62" s="105">
        <f t="shared" si="31"/>
        <v>162572</v>
      </c>
    </row>
    <row r="63" spans="1:21" ht="12.95" customHeight="1" x14ac:dyDescent="0.2">
      <c r="A63" s="37"/>
      <c r="B63" s="47" t="s">
        <v>40</v>
      </c>
      <c r="C63" s="66" t="s">
        <v>37</v>
      </c>
      <c r="D63" s="67"/>
      <c r="E63" s="55">
        <v>162572</v>
      </c>
      <c r="F63" s="55"/>
      <c r="G63" s="55">
        <f>SUM(E63:F63)</f>
        <v>162572</v>
      </c>
      <c r="H63" s="55"/>
      <c r="I63" s="55">
        <f>SUM(G63:H63)</f>
        <v>162572</v>
      </c>
      <c r="J63" s="55"/>
      <c r="K63" s="55">
        <f>SUM(I63:J63)</f>
        <v>162572</v>
      </c>
      <c r="L63" s="55"/>
      <c r="M63" s="55">
        <f>SUM(K63:L63)</f>
        <v>162572</v>
      </c>
      <c r="N63" s="55"/>
      <c r="O63" s="55">
        <f>SUM(M63:N63)</f>
        <v>162572</v>
      </c>
      <c r="P63" s="55"/>
      <c r="Q63" s="55">
        <f>SUM(O63:P63)</f>
        <v>162572</v>
      </c>
      <c r="R63" s="55"/>
      <c r="S63" s="55">
        <f>SUM(Q63:R63)</f>
        <v>162572</v>
      </c>
      <c r="T63" s="55"/>
      <c r="U63" s="55">
        <f>SUM(S63:T63)</f>
        <v>162572</v>
      </c>
    </row>
    <row r="64" spans="1:21" ht="12.95" customHeight="1" x14ac:dyDescent="0.2">
      <c r="A64" s="77"/>
      <c r="B64" s="110" t="s">
        <v>52</v>
      </c>
      <c r="C64" s="107"/>
      <c r="D64" s="109">
        <v>75018</v>
      </c>
      <c r="E64" s="105">
        <f t="shared" ref="E64:U64" si="32">SUM(E65)</f>
        <v>21732</v>
      </c>
      <c r="F64" s="105">
        <f t="shared" si="32"/>
        <v>0</v>
      </c>
      <c r="G64" s="105">
        <f t="shared" si="32"/>
        <v>21732</v>
      </c>
      <c r="H64" s="105">
        <f t="shared" si="32"/>
        <v>58756</v>
      </c>
      <c r="I64" s="105">
        <f t="shared" si="32"/>
        <v>80488</v>
      </c>
      <c r="J64" s="105">
        <f t="shared" si="32"/>
        <v>0</v>
      </c>
      <c r="K64" s="105">
        <f t="shared" si="32"/>
        <v>80488</v>
      </c>
      <c r="L64" s="105">
        <f t="shared" si="32"/>
        <v>0</v>
      </c>
      <c r="M64" s="105">
        <f t="shared" si="32"/>
        <v>80488</v>
      </c>
      <c r="N64" s="105">
        <f t="shared" si="32"/>
        <v>0</v>
      </c>
      <c r="O64" s="105">
        <f t="shared" si="32"/>
        <v>80488</v>
      </c>
      <c r="P64" s="105">
        <f t="shared" si="32"/>
        <v>0</v>
      </c>
      <c r="Q64" s="105">
        <f t="shared" si="32"/>
        <v>80488</v>
      </c>
      <c r="R64" s="105">
        <f t="shared" si="32"/>
        <v>0</v>
      </c>
      <c r="S64" s="105">
        <f t="shared" si="32"/>
        <v>80488</v>
      </c>
      <c r="T64" s="105">
        <f t="shared" si="32"/>
        <v>0</v>
      </c>
      <c r="U64" s="105">
        <f t="shared" si="32"/>
        <v>80488</v>
      </c>
    </row>
    <row r="65" spans="1:21" ht="12.95" customHeight="1" x14ac:dyDescent="0.2">
      <c r="A65" s="37"/>
      <c r="B65" s="47" t="s">
        <v>53</v>
      </c>
      <c r="C65" s="66" t="s">
        <v>54</v>
      </c>
      <c r="D65" s="67"/>
      <c r="E65" s="55">
        <v>21732</v>
      </c>
      <c r="F65" s="55"/>
      <c r="G65" s="55">
        <v>21732</v>
      </c>
      <c r="H65" s="55">
        <v>58756</v>
      </c>
      <c r="I65" s="55">
        <f>SUM(G65:H65)</f>
        <v>80488</v>
      </c>
      <c r="J65" s="55"/>
      <c r="K65" s="55">
        <f>SUM(I65:J65)</f>
        <v>80488</v>
      </c>
      <c r="L65" s="55"/>
      <c r="M65" s="55">
        <f>SUM(K65:L65)</f>
        <v>80488</v>
      </c>
      <c r="N65" s="55"/>
      <c r="O65" s="55">
        <f>SUM(M65:N65)</f>
        <v>80488</v>
      </c>
      <c r="P65" s="55"/>
      <c r="Q65" s="55">
        <f>SUM(O65:P65)</f>
        <v>80488</v>
      </c>
      <c r="R65" s="55"/>
      <c r="S65" s="55">
        <f>SUM(Q65:R65)</f>
        <v>80488</v>
      </c>
      <c r="T65" s="55"/>
      <c r="U65" s="55">
        <f>SUM(S65:T65)</f>
        <v>80488</v>
      </c>
    </row>
    <row r="66" spans="1:21" ht="12.95" customHeight="1" x14ac:dyDescent="0.2">
      <c r="A66" s="77"/>
      <c r="B66" s="102" t="s">
        <v>55</v>
      </c>
      <c r="C66" s="107"/>
      <c r="D66" s="109">
        <v>75020</v>
      </c>
      <c r="E66" s="105">
        <f t="shared" ref="E66:K66" si="33">SUM(E67:E69)</f>
        <v>143759</v>
      </c>
      <c r="F66" s="105">
        <f t="shared" si="33"/>
        <v>0</v>
      </c>
      <c r="G66" s="105">
        <f t="shared" si="33"/>
        <v>143759</v>
      </c>
      <c r="H66" s="105">
        <f t="shared" si="33"/>
        <v>0</v>
      </c>
      <c r="I66" s="105">
        <f t="shared" si="33"/>
        <v>143759</v>
      </c>
      <c r="J66" s="105">
        <f t="shared" si="33"/>
        <v>0</v>
      </c>
      <c r="K66" s="105">
        <f t="shared" si="33"/>
        <v>143759</v>
      </c>
      <c r="L66" s="105">
        <f t="shared" ref="L66:Q66" si="34">SUM(L67:L69)</f>
        <v>0</v>
      </c>
      <c r="M66" s="105">
        <f t="shared" si="34"/>
        <v>143759</v>
      </c>
      <c r="N66" s="105">
        <f t="shared" si="34"/>
        <v>0</v>
      </c>
      <c r="O66" s="105">
        <f t="shared" si="34"/>
        <v>143759</v>
      </c>
      <c r="P66" s="105">
        <f t="shared" si="34"/>
        <v>10000</v>
      </c>
      <c r="Q66" s="105">
        <f t="shared" si="34"/>
        <v>153759</v>
      </c>
      <c r="R66" s="105">
        <f>SUM(R67:R69)</f>
        <v>0</v>
      </c>
      <c r="S66" s="105">
        <f>SUM(S67:S69)</f>
        <v>153759</v>
      </c>
      <c r="T66" s="105">
        <f>SUM(T67:T69)</f>
        <v>0</v>
      </c>
      <c r="U66" s="105">
        <f>SUM(U67:U69)</f>
        <v>153759</v>
      </c>
    </row>
    <row r="67" spans="1:21" ht="12.95" customHeight="1" x14ac:dyDescent="0.2">
      <c r="A67" s="36"/>
      <c r="B67" s="47" t="s">
        <v>56</v>
      </c>
      <c r="C67" s="66" t="s">
        <v>57</v>
      </c>
      <c r="D67" s="67"/>
      <c r="E67" s="55">
        <v>4559</v>
      </c>
      <c r="F67" s="55"/>
      <c r="G67" s="55">
        <f>SUM(E67:F67)</f>
        <v>4559</v>
      </c>
      <c r="H67" s="55"/>
      <c r="I67" s="55">
        <f>SUM(G67:H67)</f>
        <v>4559</v>
      </c>
      <c r="J67" s="55"/>
      <c r="K67" s="55">
        <f>SUM(I67:J67)</f>
        <v>4559</v>
      </c>
      <c r="L67" s="55"/>
      <c r="M67" s="55">
        <f>SUM(K67:L67)</f>
        <v>4559</v>
      </c>
      <c r="N67" s="55"/>
      <c r="O67" s="55">
        <f>SUM(M67:N67)</f>
        <v>4559</v>
      </c>
      <c r="P67" s="55"/>
      <c r="Q67" s="55">
        <f>SUM(O67:P67)</f>
        <v>4559</v>
      </c>
      <c r="R67" s="55"/>
      <c r="S67" s="55">
        <f>SUM(Q67:R67)</f>
        <v>4559</v>
      </c>
      <c r="T67" s="55"/>
      <c r="U67" s="55">
        <f>SUM(S67:T67)</f>
        <v>4559</v>
      </c>
    </row>
    <row r="68" spans="1:21" x14ac:dyDescent="0.2">
      <c r="A68" s="36"/>
      <c r="B68" s="47" t="s">
        <v>42</v>
      </c>
      <c r="C68" s="66" t="s">
        <v>43</v>
      </c>
      <c r="D68" s="67"/>
      <c r="E68" s="55"/>
      <c r="F68" s="55"/>
      <c r="G68" s="55">
        <f>SUM(E68:F68)</f>
        <v>0</v>
      </c>
      <c r="H68" s="55"/>
      <c r="I68" s="55">
        <f>SUM(G68:H68)</f>
        <v>0</v>
      </c>
      <c r="J68" s="55"/>
      <c r="K68" s="55">
        <f>SUM(I68:J68)</f>
        <v>0</v>
      </c>
      <c r="L68" s="55"/>
      <c r="M68" s="55">
        <f>SUM(K68:L68)</f>
        <v>0</v>
      </c>
      <c r="N68" s="55"/>
      <c r="O68" s="55">
        <f>SUM(M68:N68)</f>
        <v>0</v>
      </c>
      <c r="P68" s="55">
        <v>10000</v>
      </c>
      <c r="Q68" s="55">
        <f>SUM(O68:P68)</f>
        <v>10000</v>
      </c>
      <c r="R68" s="55"/>
      <c r="S68" s="55">
        <f>SUM(Q68:R68)</f>
        <v>10000</v>
      </c>
      <c r="T68" s="55"/>
      <c r="U68" s="55">
        <f>SUM(S68:T68)</f>
        <v>10000</v>
      </c>
    </row>
    <row r="69" spans="1:21" ht="12.95" customHeight="1" x14ac:dyDescent="0.2">
      <c r="A69" s="36"/>
      <c r="B69" s="48" t="s">
        <v>7</v>
      </c>
      <c r="C69" s="66" t="s">
        <v>8</v>
      </c>
      <c r="D69" s="67"/>
      <c r="E69" s="55">
        <v>139200</v>
      </c>
      <c r="F69" s="55"/>
      <c r="G69" s="55">
        <f>SUM(E69:F69)</f>
        <v>139200</v>
      </c>
      <c r="H69" s="55"/>
      <c r="I69" s="55">
        <f>SUM(G69:H69)</f>
        <v>139200</v>
      </c>
      <c r="J69" s="55"/>
      <c r="K69" s="55">
        <f>SUM(I69:J69)</f>
        <v>139200</v>
      </c>
      <c r="L69" s="55"/>
      <c r="M69" s="55">
        <f>SUM(K69:L69)</f>
        <v>139200</v>
      </c>
      <c r="N69" s="55"/>
      <c r="O69" s="55">
        <f>SUM(M69:N69)</f>
        <v>139200</v>
      </c>
      <c r="P69" s="55"/>
      <c r="Q69" s="55">
        <f>SUM(O69:P69)</f>
        <v>139200</v>
      </c>
      <c r="R69" s="55"/>
      <c r="S69" s="55">
        <f>SUM(Q69:R69)</f>
        <v>139200</v>
      </c>
      <c r="T69" s="55"/>
      <c r="U69" s="55">
        <f>SUM(S69:T69)</f>
        <v>139200</v>
      </c>
    </row>
    <row r="70" spans="1:21" ht="12.95" customHeight="1" x14ac:dyDescent="0.2">
      <c r="A70" s="75"/>
      <c r="B70" s="102" t="s">
        <v>58</v>
      </c>
      <c r="C70" s="107"/>
      <c r="D70" s="109">
        <v>75045</v>
      </c>
      <c r="E70" s="105">
        <f t="shared" ref="E70:K70" si="35">SUM(E71:E72)</f>
        <v>20000</v>
      </c>
      <c r="F70" s="105">
        <f t="shared" si="35"/>
        <v>0</v>
      </c>
      <c r="G70" s="105">
        <f t="shared" si="35"/>
        <v>20000</v>
      </c>
      <c r="H70" s="105">
        <f t="shared" si="35"/>
        <v>0</v>
      </c>
      <c r="I70" s="105">
        <f t="shared" si="35"/>
        <v>20000</v>
      </c>
      <c r="J70" s="105">
        <f t="shared" si="35"/>
        <v>0</v>
      </c>
      <c r="K70" s="105">
        <f t="shared" si="35"/>
        <v>20000</v>
      </c>
      <c r="L70" s="105">
        <f t="shared" ref="L70:Q70" si="36">SUM(L71:L72)</f>
        <v>0</v>
      </c>
      <c r="M70" s="105">
        <f t="shared" si="36"/>
        <v>20000</v>
      </c>
      <c r="N70" s="105">
        <f t="shared" si="36"/>
        <v>0</v>
      </c>
      <c r="O70" s="105">
        <f t="shared" si="36"/>
        <v>20000</v>
      </c>
      <c r="P70" s="105">
        <f t="shared" si="36"/>
        <v>0</v>
      </c>
      <c r="Q70" s="105">
        <f t="shared" si="36"/>
        <v>20000</v>
      </c>
      <c r="R70" s="105">
        <f>SUM(R71:R72)</f>
        <v>0</v>
      </c>
      <c r="S70" s="105">
        <f>SUM(S71:S72)</f>
        <v>20000</v>
      </c>
      <c r="T70" s="105">
        <f>SUM(T71:T72)</f>
        <v>0</v>
      </c>
      <c r="U70" s="105">
        <f>SUM(U71:U72)</f>
        <v>20000</v>
      </c>
    </row>
    <row r="71" spans="1:21" ht="12.95" customHeight="1" x14ac:dyDescent="0.2">
      <c r="A71" s="36"/>
      <c r="B71" s="47" t="s">
        <v>40</v>
      </c>
      <c r="C71" s="66" t="s">
        <v>37</v>
      </c>
      <c r="D71" s="67"/>
      <c r="E71" s="55">
        <v>11000</v>
      </c>
      <c r="F71" s="55"/>
      <c r="G71" s="55">
        <f>SUM(E71:F71)</f>
        <v>11000</v>
      </c>
      <c r="H71" s="55"/>
      <c r="I71" s="55">
        <f>SUM(G71:H71)</f>
        <v>11000</v>
      </c>
      <c r="J71" s="55"/>
      <c r="K71" s="55">
        <f>SUM(I71:J71)</f>
        <v>11000</v>
      </c>
      <c r="L71" s="55"/>
      <c r="M71" s="55">
        <f>SUM(K71:L71)</f>
        <v>11000</v>
      </c>
      <c r="N71" s="55"/>
      <c r="O71" s="55">
        <f>SUM(M71:N71)</f>
        <v>11000</v>
      </c>
      <c r="P71" s="55"/>
      <c r="Q71" s="55">
        <f>SUM(O71:P71)</f>
        <v>11000</v>
      </c>
      <c r="R71" s="55"/>
      <c r="S71" s="55">
        <f>SUM(Q71:R71)</f>
        <v>11000</v>
      </c>
      <c r="T71" s="55"/>
      <c r="U71" s="55">
        <f>SUM(S71:T71)</f>
        <v>11000</v>
      </c>
    </row>
    <row r="72" spans="1:21" ht="12.95" customHeight="1" x14ac:dyDescent="0.2">
      <c r="A72" s="36"/>
      <c r="B72" s="47" t="s">
        <v>59</v>
      </c>
      <c r="C72" s="66" t="s">
        <v>60</v>
      </c>
      <c r="D72" s="67"/>
      <c r="E72" s="55">
        <v>9000</v>
      </c>
      <c r="F72" s="55"/>
      <c r="G72" s="55">
        <f>SUM(E72:F72)</f>
        <v>9000</v>
      </c>
      <c r="H72" s="55"/>
      <c r="I72" s="55">
        <f>SUM(G72:H72)</f>
        <v>9000</v>
      </c>
      <c r="J72" s="55"/>
      <c r="K72" s="55">
        <f>SUM(I72:J72)</f>
        <v>9000</v>
      </c>
      <c r="L72" s="55"/>
      <c r="M72" s="55">
        <f>SUM(K72:L72)</f>
        <v>9000</v>
      </c>
      <c r="N72" s="55"/>
      <c r="O72" s="55">
        <f>SUM(M72:N72)</f>
        <v>9000</v>
      </c>
      <c r="P72" s="55"/>
      <c r="Q72" s="55">
        <f>SUM(O72:P72)</f>
        <v>9000</v>
      </c>
      <c r="R72" s="55"/>
      <c r="S72" s="55">
        <f>SUM(Q72:R72)</f>
        <v>9000</v>
      </c>
      <c r="T72" s="55"/>
      <c r="U72" s="55">
        <f>SUM(S72:T72)</f>
        <v>9000</v>
      </c>
    </row>
    <row r="73" spans="1:21" ht="12.95" customHeight="1" x14ac:dyDescent="0.2">
      <c r="A73" s="90">
        <v>754</v>
      </c>
      <c r="B73" s="88" t="s">
        <v>61</v>
      </c>
      <c r="C73" s="85"/>
      <c r="D73" s="86"/>
      <c r="E73" s="89">
        <f t="shared" ref="E73:K73" si="37">SUM(E74+E79)</f>
        <v>4629000</v>
      </c>
      <c r="F73" s="89">
        <f t="shared" si="37"/>
        <v>0</v>
      </c>
      <c r="G73" s="89">
        <f t="shared" si="37"/>
        <v>4629000</v>
      </c>
      <c r="H73" s="89">
        <f t="shared" si="37"/>
        <v>0</v>
      </c>
      <c r="I73" s="89">
        <f t="shared" si="37"/>
        <v>4629000</v>
      </c>
      <c r="J73" s="89">
        <f t="shared" si="37"/>
        <v>7000</v>
      </c>
      <c r="K73" s="89">
        <f t="shared" si="37"/>
        <v>4636000</v>
      </c>
      <c r="L73" s="89">
        <f t="shared" ref="L73:Q73" si="38">SUM(L74+L79)</f>
        <v>-5100</v>
      </c>
      <c r="M73" s="89">
        <f t="shared" si="38"/>
        <v>4630900</v>
      </c>
      <c r="N73" s="89">
        <f t="shared" si="38"/>
        <v>0</v>
      </c>
      <c r="O73" s="89">
        <f t="shared" si="38"/>
        <v>4630900</v>
      </c>
      <c r="P73" s="89">
        <f t="shared" si="38"/>
        <v>12000</v>
      </c>
      <c r="Q73" s="89">
        <f t="shared" si="38"/>
        <v>4642900</v>
      </c>
      <c r="R73" s="89">
        <f>SUM(R74+R79)</f>
        <v>4500</v>
      </c>
      <c r="S73" s="89">
        <f>SUM(S74+S79)</f>
        <v>4647400</v>
      </c>
      <c r="T73" s="89">
        <f>SUM(T74+T79)</f>
        <v>-4500</v>
      </c>
      <c r="U73" s="89">
        <f>SUM(U74+U79)</f>
        <v>4642900</v>
      </c>
    </row>
    <row r="74" spans="1:21" ht="12.95" customHeight="1" x14ac:dyDescent="0.2">
      <c r="A74" s="75"/>
      <c r="B74" s="102" t="s">
        <v>62</v>
      </c>
      <c r="C74" s="107"/>
      <c r="D74" s="109">
        <v>75411</v>
      </c>
      <c r="E74" s="105">
        <f t="shared" ref="E74:K74" si="39">SUM(E75:E78)</f>
        <v>4629000</v>
      </c>
      <c r="F74" s="105">
        <f t="shared" si="39"/>
        <v>0</v>
      </c>
      <c r="G74" s="105">
        <f t="shared" si="39"/>
        <v>4629000</v>
      </c>
      <c r="H74" s="105">
        <f t="shared" si="39"/>
        <v>0</v>
      </c>
      <c r="I74" s="105">
        <f t="shared" si="39"/>
        <v>4629000</v>
      </c>
      <c r="J74" s="105">
        <f t="shared" si="39"/>
        <v>0</v>
      </c>
      <c r="K74" s="105">
        <f t="shared" si="39"/>
        <v>4629000</v>
      </c>
      <c r="L74" s="105">
        <f t="shared" ref="L74:Q74" si="40">SUM(L75:L78)</f>
        <v>-5100</v>
      </c>
      <c r="M74" s="105">
        <f t="shared" si="40"/>
        <v>4623900</v>
      </c>
      <c r="N74" s="105">
        <f t="shared" si="40"/>
        <v>0</v>
      </c>
      <c r="O74" s="105">
        <f t="shared" si="40"/>
        <v>4623900</v>
      </c>
      <c r="P74" s="105">
        <f t="shared" si="40"/>
        <v>12000</v>
      </c>
      <c r="Q74" s="105">
        <f t="shared" si="40"/>
        <v>4635900</v>
      </c>
      <c r="R74" s="105">
        <f>SUM(R75:R78)</f>
        <v>4500</v>
      </c>
      <c r="S74" s="105">
        <f>SUM(S75:S78)</f>
        <v>4640400</v>
      </c>
      <c r="T74" s="105">
        <f>SUM(T75:T78)</f>
        <v>-4500</v>
      </c>
      <c r="U74" s="105">
        <f>SUM(U75:U78)</f>
        <v>4635900</v>
      </c>
    </row>
    <row r="75" spans="1:21" ht="12.95" hidden="1" customHeight="1" x14ac:dyDescent="0.2">
      <c r="A75" s="36"/>
      <c r="B75" s="48" t="s">
        <v>42</v>
      </c>
      <c r="C75" s="66" t="s">
        <v>43</v>
      </c>
      <c r="D75" s="67"/>
      <c r="E75" s="54"/>
      <c r="F75" s="54"/>
      <c r="G75" s="55">
        <f>SUM(E75:F75)</f>
        <v>0</v>
      </c>
      <c r="H75" s="54"/>
      <c r="I75" s="55">
        <f>SUM(G75:H75)</f>
        <v>0</v>
      </c>
      <c r="J75" s="54"/>
      <c r="K75" s="55">
        <f>SUM(I75:J75)</f>
        <v>0</v>
      </c>
      <c r="L75" s="54"/>
      <c r="M75" s="55">
        <f>SUM(K75:L75)</f>
        <v>0</v>
      </c>
      <c r="N75" s="54"/>
      <c r="O75" s="55">
        <f>SUM(M75:N75)</f>
        <v>0</v>
      </c>
      <c r="P75" s="54"/>
      <c r="Q75" s="55">
        <f>SUM(O75:P75)</f>
        <v>0</v>
      </c>
      <c r="R75" s="54"/>
      <c r="S75" s="55">
        <f>SUM(Q75:R75)</f>
        <v>0</v>
      </c>
      <c r="T75" s="54"/>
      <c r="U75" s="55">
        <f>SUM(S75:T75)</f>
        <v>0</v>
      </c>
    </row>
    <row r="76" spans="1:21" ht="12.95" customHeight="1" x14ac:dyDescent="0.2">
      <c r="A76" s="36"/>
      <c r="B76" s="47" t="s">
        <v>40</v>
      </c>
      <c r="C76" s="66" t="s">
        <v>37</v>
      </c>
      <c r="D76" s="67"/>
      <c r="E76" s="55">
        <v>4620000</v>
      </c>
      <c r="F76" s="55"/>
      <c r="G76" s="55">
        <f>SUM(E76:F76)</f>
        <v>4620000</v>
      </c>
      <c r="H76" s="55"/>
      <c r="I76" s="55">
        <f>SUM(G76:H76)</f>
        <v>4620000</v>
      </c>
      <c r="J76" s="55"/>
      <c r="K76" s="55">
        <f>SUM(I76:J76)</f>
        <v>4620000</v>
      </c>
      <c r="L76" s="55">
        <v>-5100</v>
      </c>
      <c r="M76" s="55">
        <f>SUM(K76:L76)</f>
        <v>4614900</v>
      </c>
      <c r="N76" s="55"/>
      <c r="O76" s="55">
        <f>SUM(M76:N76)</f>
        <v>4614900</v>
      </c>
      <c r="P76" s="55"/>
      <c r="Q76" s="55">
        <f>SUM(O76:P76)</f>
        <v>4614900</v>
      </c>
      <c r="R76" s="55">
        <v>4500</v>
      </c>
      <c r="S76" s="55">
        <f>SUM(Q76:R76)</f>
        <v>4619400</v>
      </c>
      <c r="T76" s="55"/>
      <c r="U76" s="55">
        <f>SUM(S76:T76)</f>
        <v>4619400</v>
      </c>
    </row>
    <row r="77" spans="1:21" ht="12.95" hidden="1" customHeight="1" x14ac:dyDescent="0.2">
      <c r="A77" s="36"/>
      <c r="B77" s="47" t="s">
        <v>19</v>
      </c>
      <c r="C77" s="66" t="s">
        <v>20</v>
      </c>
      <c r="D77" s="67"/>
      <c r="E77" s="55"/>
      <c r="F77" s="55"/>
      <c r="G77" s="55">
        <f>SUM(E77:F77)</f>
        <v>0</v>
      </c>
      <c r="H77" s="55"/>
      <c r="I77" s="55">
        <f>SUM(G77:H77)</f>
        <v>0</v>
      </c>
      <c r="J77" s="55"/>
      <c r="K77" s="55">
        <f>SUM(I77:J77)</f>
        <v>0</v>
      </c>
      <c r="L77" s="55"/>
      <c r="M77" s="55">
        <f>SUM(K77:L77)</f>
        <v>0</v>
      </c>
      <c r="N77" s="55"/>
      <c r="O77" s="55">
        <f>SUM(M77:N77)</f>
        <v>0</v>
      </c>
      <c r="P77" s="55"/>
      <c r="Q77" s="55">
        <f>SUM(O77:P77)</f>
        <v>0</v>
      </c>
      <c r="R77" s="55"/>
      <c r="S77" s="55">
        <f>SUM(Q77:R77)</f>
        <v>0</v>
      </c>
      <c r="T77" s="55"/>
      <c r="U77" s="55">
        <f>SUM(S77:T77)</f>
        <v>0</v>
      </c>
    </row>
    <row r="78" spans="1:21" ht="12.95" customHeight="1" x14ac:dyDescent="0.2">
      <c r="A78" s="36"/>
      <c r="B78" s="47" t="s">
        <v>63</v>
      </c>
      <c r="C78" s="66" t="s">
        <v>64</v>
      </c>
      <c r="D78" s="67"/>
      <c r="E78" s="55">
        <v>9000</v>
      </c>
      <c r="F78" s="55"/>
      <c r="G78" s="55">
        <f>SUM(E78:F78)</f>
        <v>9000</v>
      </c>
      <c r="H78" s="55"/>
      <c r="I78" s="55">
        <f>SUM(G78:H78)</f>
        <v>9000</v>
      </c>
      <c r="J78" s="55"/>
      <c r="K78" s="55">
        <f>SUM(I78:J78)</f>
        <v>9000</v>
      </c>
      <c r="L78" s="55"/>
      <c r="M78" s="55">
        <f>SUM(K78:L78)</f>
        <v>9000</v>
      </c>
      <c r="N78" s="55"/>
      <c r="O78" s="55">
        <f>SUM(M78:N78)</f>
        <v>9000</v>
      </c>
      <c r="P78" s="55">
        <v>12000</v>
      </c>
      <c r="Q78" s="55">
        <f>SUM(O78:P78)</f>
        <v>21000</v>
      </c>
      <c r="R78" s="55"/>
      <c r="S78" s="55">
        <f>SUM(Q78:R78)</f>
        <v>21000</v>
      </c>
      <c r="T78" s="55">
        <v>-4500</v>
      </c>
      <c r="U78" s="55">
        <f>SUM(S78:T78)</f>
        <v>16500</v>
      </c>
    </row>
    <row r="79" spans="1:21" ht="12.95" customHeight="1" x14ac:dyDescent="0.2">
      <c r="A79" s="75"/>
      <c r="B79" s="110" t="s">
        <v>65</v>
      </c>
      <c r="C79" s="107"/>
      <c r="D79" s="109">
        <v>75495</v>
      </c>
      <c r="E79" s="105">
        <f t="shared" ref="E79:U79" si="41">SUM(E80)</f>
        <v>0</v>
      </c>
      <c r="F79" s="105">
        <f t="shared" si="41"/>
        <v>0</v>
      </c>
      <c r="G79" s="105">
        <f t="shared" si="41"/>
        <v>0</v>
      </c>
      <c r="H79" s="105">
        <f t="shared" si="41"/>
        <v>0</v>
      </c>
      <c r="I79" s="105">
        <f t="shared" si="41"/>
        <v>0</v>
      </c>
      <c r="J79" s="105">
        <f t="shared" si="41"/>
        <v>7000</v>
      </c>
      <c r="K79" s="105">
        <f t="shared" si="41"/>
        <v>7000</v>
      </c>
      <c r="L79" s="105">
        <f t="shared" si="41"/>
        <v>0</v>
      </c>
      <c r="M79" s="105">
        <f t="shared" si="41"/>
        <v>7000</v>
      </c>
      <c r="N79" s="105">
        <f t="shared" si="41"/>
        <v>0</v>
      </c>
      <c r="O79" s="105">
        <f t="shared" si="41"/>
        <v>7000</v>
      </c>
      <c r="P79" s="105">
        <f t="shared" si="41"/>
        <v>0</v>
      </c>
      <c r="Q79" s="105">
        <f t="shared" si="41"/>
        <v>7000</v>
      </c>
      <c r="R79" s="105">
        <f t="shared" si="41"/>
        <v>0</v>
      </c>
      <c r="S79" s="105">
        <f t="shared" si="41"/>
        <v>7000</v>
      </c>
      <c r="T79" s="105">
        <f t="shared" si="41"/>
        <v>0</v>
      </c>
      <c r="U79" s="105">
        <f t="shared" si="41"/>
        <v>7000</v>
      </c>
    </row>
    <row r="80" spans="1:21" ht="12.95" customHeight="1" x14ac:dyDescent="0.2">
      <c r="A80" s="36"/>
      <c r="B80" s="47" t="s">
        <v>45</v>
      </c>
      <c r="C80" s="66" t="s">
        <v>46</v>
      </c>
      <c r="D80" s="67"/>
      <c r="E80" s="55"/>
      <c r="F80" s="55"/>
      <c r="G80" s="55">
        <f>SUM(E80:F80)</f>
        <v>0</v>
      </c>
      <c r="H80" s="55"/>
      <c r="I80" s="55">
        <f>SUM(G80:H80)</f>
        <v>0</v>
      </c>
      <c r="J80" s="55">
        <v>7000</v>
      </c>
      <c r="K80" s="55">
        <f>SUM(I80:J80)</f>
        <v>7000</v>
      </c>
      <c r="L80" s="55"/>
      <c r="M80" s="55">
        <f>SUM(K80:L80)</f>
        <v>7000</v>
      </c>
      <c r="N80" s="55"/>
      <c r="O80" s="55">
        <f>SUM(M80:N80)</f>
        <v>7000</v>
      </c>
      <c r="P80" s="55"/>
      <c r="Q80" s="55">
        <f>SUM(O80:P80)</f>
        <v>7000</v>
      </c>
      <c r="R80" s="55"/>
      <c r="S80" s="55">
        <f>SUM(Q80:R80)</f>
        <v>7000</v>
      </c>
      <c r="T80" s="55"/>
      <c r="U80" s="55">
        <f>SUM(S80:T80)</f>
        <v>7000</v>
      </c>
    </row>
    <row r="81" spans="1:21" ht="12.95" customHeight="1" x14ac:dyDescent="0.2">
      <c r="A81" s="90">
        <v>756</v>
      </c>
      <c r="B81" s="88" t="s">
        <v>66</v>
      </c>
      <c r="C81" s="85"/>
      <c r="D81" s="86"/>
      <c r="E81" s="89">
        <f t="shared" ref="E81:K81" si="42">SUM(E82,E86)</f>
        <v>9984917</v>
      </c>
      <c r="F81" s="89">
        <f t="shared" si="42"/>
        <v>0</v>
      </c>
      <c r="G81" s="89">
        <f t="shared" si="42"/>
        <v>9984917</v>
      </c>
      <c r="H81" s="89">
        <f t="shared" si="42"/>
        <v>0</v>
      </c>
      <c r="I81" s="89">
        <f t="shared" si="42"/>
        <v>9984917</v>
      </c>
      <c r="J81" s="89">
        <f t="shared" si="42"/>
        <v>0</v>
      </c>
      <c r="K81" s="89">
        <f t="shared" si="42"/>
        <v>9984917</v>
      </c>
      <c r="L81" s="89">
        <f t="shared" ref="L81:Q81" si="43">SUM(L82,L86)</f>
        <v>0</v>
      </c>
      <c r="M81" s="89">
        <f t="shared" si="43"/>
        <v>9984917</v>
      </c>
      <c r="N81" s="89">
        <f t="shared" si="43"/>
        <v>-386615</v>
      </c>
      <c r="O81" s="89">
        <f t="shared" si="43"/>
        <v>9598302</v>
      </c>
      <c r="P81" s="89">
        <f t="shared" si="43"/>
        <v>69078</v>
      </c>
      <c r="Q81" s="89">
        <f t="shared" si="43"/>
        <v>9667380</v>
      </c>
      <c r="R81" s="89">
        <f>SUM(R82,R86)</f>
        <v>0</v>
      </c>
      <c r="S81" s="89">
        <f>SUM(S82,S86)</f>
        <v>9667380</v>
      </c>
      <c r="T81" s="89">
        <f>SUM(T82,T86)</f>
        <v>0</v>
      </c>
      <c r="U81" s="89">
        <f>SUM(U82,U86)</f>
        <v>9667380</v>
      </c>
    </row>
    <row r="82" spans="1:21" ht="12.95" customHeight="1" x14ac:dyDescent="0.2">
      <c r="A82" s="75"/>
      <c r="B82" s="110" t="s">
        <v>67</v>
      </c>
      <c r="C82" s="107"/>
      <c r="D82" s="109">
        <v>75618</v>
      </c>
      <c r="E82" s="111">
        <f t="shared" ref="E82:K82" si="44">SUM(E83:E84)</f>
        <v>170000</v>
      </c>
      <c r="F82" s="111">
        <f t="shared" si="44"/>
        <v>0</v>
      </c>
      <c r="G82" s="111">
        <f t="shared" si="44"/>
        <v>170000</v>
      </c>
      <c r="H82" s="111">
        <f t="shared" si="44"/>
        <v>0</v>
      </c>
      <c r="I82" s="111">
        <f t="shared" si="44"/>
        <v>170000</v>
      </c>
      <c r="J82" s="111">
        <f t="shared" si="44"/>
        <v>0</v>
      </c>
      <c r="K82" s="111">
        <f t="shared" si="44"/>
        <v>170000</v>
      </c>
      <c r="L82" s="111">
        <f>SUM(L83:L84)</f>
        <v>0</v>
      </c>
      <c r="M82" s="111">
        <f>SUM(M83:M84)</f>
        <v>170000</v>
      </c>
      <c r="N82" s="111">
        <f>SUM(N83:N84)</f>
        <v>0</v>
      </c>
      <c r="O82" s="111">
        <f t="shared" ref="O82:U82" si="45">SUM(O83:O85)</f>
        <v>170000</v>
      </c>
      <c r="P82" s="111">
        <f t="shared" si="45"/>
        <v>69078</v>
      </c>
      <c r="Q82" s="111">
        <f t="shared" si="45"/>
        <v>239078</v>
      </c>
      <c r="R82" s="111">
        <f t="shared" si="45"/>
        <v>0</v>
      </c>
      <c r="S82" s="111">
        <f t="shared" si="45"/>
        <v>239078</v>
      </c>
      <c r="T82" s="111">
        <f t="shared" si="45"/>
        <v>0</v>
      </c>
      <c r="U82" s="111">
        <f t="shared" si="45"/>
        <v>239078</v>
      </c>
    </row>
    <row r="83" spans="1:21" x14ac:dyDescent="0.2">
      <c r="A83" s="39"/>
      <c r="B83" s="47" t="s">
        <v>68</v>
      </c>
      <c r="C83" s="66" t="s">
        <v>69</v>
      </c>
      <c r="D83" s="69"/>
      <c r="E83" s="56">
        <v>170000</v>
      </c>
      <c r="F83" s="56"/>
      <c r="G83" s="56">
        <f>SUM(E83:F83)</f>
        <v>170000</v>
      </c>
      <c r="H83" s="56"/>
      <c r="I83" s="56">
        <f>SUM(G83:H83)</f>
        <v>170000</v>
      </c>
      <c r="J83" s="56"/>
      <c r="K83" s="56">
        <f>SUM(I83:J83)</f>
        <v>170000</v>
      </c>
      <c r="L83" s="56"/>
      <c r="M83" s="56">
        <f>SUM(K83:L83)</f>
        <v>170000</v>
      </c>
      <c r="N83" s="56"/>
      <c r="O83" s="56">
        <f>SUM(M83:N83)</f>
        <v>170000</v>
      </c>
      <c r="P83" s="56">
        <v>68200</v>
      </c>
      <c r="Q83" s="56">
        <f>SUM(O83:P83)</f>
        <v>238200</v>
      </c>
      <c r="R83" s="56"/>
      <c r="S83" s="56">
        <f>SUM(Q83:R83)</f>
        <v>238200</v>
      </c>
      <c r="T83" s="56"/>
      <c r="U83" s="56">
        <f>SUM(S83:T83)</f>
        <v>238200</v>
      </c>
    </row>
    <row r="84" spans="1:21" x14ac:dyDescent="0.2">
      <c r="A84" s="39"/>
      <c r="B84" s="47" t="s">
        <v>42</v>
      </c>
      <c r="C84" s="66" t="s">
        <v>43</v>
      </c>
      <c r="D84" s="69"/>
      <c r="E84" s="56"/>
      <c r="F84" s="56"/>
      <c r="G84" s="56">
        <f>SUM(E84:F84)</f>
        <v>0</v>
      </c>
      <c r="H84" s="56"/>
      <c r="I84" s="56">
        <f>SUM(G84:H84)</f>
        <v>0</v>
      </c>
      <c r="J84" s="56"/>
      <c r="K84" s="56">
        <f>SUM(I84:J84)</f>
        <v>0</v>
      </c>
      <c r="L84" s="56"/>
      <c r="M84" s="56">
        <f>SUM(K84:L84)</f>
        <v>0</v>
      </c>
      <c r="N84" s="56"/>
      <c r="O84" s="56">
        <f>SUM(M84:N84)</f>
        <v>0</v>
      </c>
      <c r="P84" s="56">
        <v>403</v>
      </c>
      <c r="Q84" s="56">
        <f>SUM(O84:P84)</f>
        <v>403</v>
      </c>
      <c r="R84" s="56"/>
      <c r="S84" s="56">
        <f>SUM(Q84:R84)</f>
        <v>403</v>
      </c>
      <c r="T84" s="56"/>
      <c r="U84" s="56">
        <f>SUM(S84:T84)</f>
        <v>403</v>
      </c>
    </row>
    <row r="85" spans="1:21" x14ac:dyDescent="0.2">
      <c r="A85" s="39"/>
      <c r="B85" s="47" t="s">
        <v>7</v>
      </c>
      <c r="C85" s="128" t="s">
        <v>8</v>
      </c>
      <c r="D85" s="69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>
        <v>475</v>
      </c>
      <c r="Q85" s="56">
        <f>SUM(O85:P85)</f>
        <v>475</v>
      </c>
      <c r="R85" s="56"/>
      <c r="S85" s="56">
        <f>SUM(Q85:R85)</f>
        <v>475</v>
      </c>
      <c r="T85" s="56"/>
      <c r="U85" s="56">
        <f>SUM(S85:T85)</f>
        <v>475</v>
      </c>
    </row>
    <row r="86" spans="1:21" ht="12.95" customHeight="1" x14ac:dyDescent="0.2">
      <c r="A86" s="76"/>
      <c r="B86" s="112" t="s">
        <v>260</v>
      </c>
      <c r="C86" s="107"/>
      <c r="D86" s="109">
        <v>75622</v>
      </c>
      <c r="E86" s="113">
        <f t="shared" ref="E86:K86" si="46">SUM(E87:E88)</f>
        <v>9814917</v>
      </c>
      <c r="F86" s="113">
        <f t="shared" si="46"/>
        <v>0</v>
      </c>
      <c r="G86" s="113">
        <f t="shared" si="46"/>
        <v>9814917</v>
      </c>
      <c r="H86" s="113">
        <f t="shared" si="46"/>
        <v>0</v>
      </c>
      <c r="I86" s="113">
        <f t="shared" si="46"/>
        <v>9814917</v>
      </c>
      <c r="J86" s="113">
        <f t="shared" si="46"/>
        <v>0</v>
      </c>
      <c r="K86" s="113">
        <f t="shared" si="46"/>
        <v>9814917</v>
      </c>
      <c r="L86" s="113">
        <f t="shared" ref="L86:Q86" si="47">SUM(L87:L88)</f>
        <v>0</v>
      </c>
      <c r="M86" s="113">
        <f t="shared" si="47"/>
        <v>9814917</v>
      </c>
      <c r="N86" s="113">
        <f t="shared" si="47"/>
        <v>-386615</v>
      </c>
      <c r="O86" s="113">
        <f t="shared" si="47"/>
        <v>9428302</v>
      </c>
      <c r="P86" s="113">
        <f t="shared" si="47"/>
        <v>0</v>
      </c>
      <c r="Q86" s="113">
        <f t="shared" si="47"/>
        <v>9428302</v>
      </c>
      <c r="R86" s="113">
        <f>SUM(R87:R88)</f>
        <v>0</v>
      </c>
      <c r="S86" s="113">
        <f>SUM(S87:S88)</f>
        <v>9428302</v>
      </c>
      <c r="T86" s="113">
        <f>SUM(T87:T88)</f>
        <v>0</v>
      </c>
      <c r="U86" s="113">
        <f>SUM(U87:U88)</f>
        <v>9428302</v>
      </c>
    </row>
    <row r="87" spans="1:21" ht="12.95" customHeight="1" x14ac:dyDescent="0.2">
      <c r="A87" s="36"/>
      <c r="B87" s="48" t="s">
        <v>70</v>
      </c>
      <c r="C87" s="66" t="s">
        <v>71</v>
      </c>
      <c r="D87" s="67"/>
      <c r="E87" s="55">
        <v>9664917</v>
      </c>
      <c r="F87" s="55"/>
      <c r="G87" s="55">
        <f>SUM(E87:F87)</f>
        <v>9664917</v>
      </c>
      <c r="H87" s="55"/>
      <c r="I87" s="55">
        <f>SUM(G87:H87)</f>
        <v>9664917</v>
      </c>
      <c r="J87" s="55"/>
      <c r="K87" s="55">
        <f>SUM(I87:J87)</f>
        <v>9664917</v>
      </c>
      <c r="L87" s="55"/>
      <c r="M87" s="55">
        <f>SUM(K87:L87)</f>
        <v>9664917</v>
      </c>
      <c r="N87" s="55">
        <v>-386615</v>
      </c>
      <c r="O87" s="55">
        <f>SUM(M87:N87)</f>
        <v>9278302</v>
      </c>
      <c r="P87" s="55"/>
      <c r="Q87" s="55">
        <f>SUM(O87:P87)</f>
        <v>9278302</v>
      </c>
      <c r="R87" s="55"/>
      <c r="S87" s="55">
        <f>SUM(Q87:R87)</f>
        <v>9278302</v>
      </c>
      <c r="T87" s="55"/>
      <c r="U87" s="55">
        <f>SUM(S87:T87)</f>
        <v>9278302</v>
      </c>
    </row>
    <row r="88" spans="1:21" ht="12.95" customHeight="1" x14ac:dyDescent="0.2">
      <c r="A88" s="36"/>
      <c r="B88" s="48" t="s">
        <v>72</v>
      </c>
      <c r="C88" s="66" t="s">
        <v>73</v>
      </c>
      <c r="D88" s="67"/>
      <c r="E88" s="55">
        <v>150000</v>
      </c>
      <c r="F88" s="55"/>
      <c r="G88" s="55">
        <f>SUM(E88:F88)</f>
        <v>150000</v>
      </c>
      <c r="H88" s="55"/>
      <c r="I88" s="55">
        <f>SUM(G88:H88)</f>
        <v>150000</v>
      </c>
      <c r="J88" s="55"/>
      <c r="K88" s="55">
        <f>SUM(I88:J88)</f>
        <v>150000</v>
      </c>
      <c r="L88" s="55"/>
      <c r="M88" s="55">
        <f>SUM(K88:L88)</f>
        <v>150000</v>
      </c>
      <c r="N88" s="55"/>
      <c r="O88" s="55">
        <f>SUM(M88:N88)</f>
        <v>150000</v>
      </c>
      <c r="P88" s="55"/>
      <c r="Q88" s="55">
        <f>SUM(O88:P88)</f>
        <v>150000</v>
      </c>
      <c r="R88" s="55"/>
      <c r="S88" s="55">
        <f>SUM(Q88:R88)</f>
        <v>150000</v>
      </c>
      <c r="T88" s="55"/>
      <c r="U88" s="55">
        <f>SUM(S88:T88)</f>
        <v>150000</v>
      </c>
    </row>
    <row r="89" spans="1:21" ht="12.95" customHeight="1" x14ac:dyDescent="0.2">
      <c r="A89" s="90">
        <v>758</v>
      </c>
      <c r="B89" s="88" t="s">
        <v>74</v>
      </c>
      <c r="C89" s="85"/>
      <c r="D89" s="86"/>
      <c r="E89" s="89">
        <f t="shared" ref="E89:K89" si="48">SUM(E90+E92+E94+E96+E98)</f>
        <v>31856239</v>
      </c>
      <c r="F89" s="89">
        <f t="shared" si="48"/>
        <v>0</v>
      </c>
      <c r="G89" s="89">
        <f t="shared" si="48"/>
        <v>31856239</v>
      </c>
      <c r="H89" s="89">
        <f t="shared" si="48"/>
        <v>0</v>
      </c>
      <c r="I89" s="89">
        <f t="shared" si="48"/>
        <v>31856239</v>
      </c>
      <c r="J89" s="89">
        <f t="shared" si="48"/>
        <v>0</v>
      </c>
      <c r="K89" s="89">
        <f t="shared" si="48"/>
        <v>31856239</v>
      </c>
      <c r="L89" s="89">
        <f t="shared" ref="L89:Q89" si="49">SUM(L90+L92+L94+L96+L98)</f>
        <v>0</v>
      </c>
      <c r="M89" s="89">
        <f t="shared" si="49"/>
        <v>31856239</v>
      </c>
      <c r="N89" s="89">
        <f t="shared" si="49"/>
        <v>619304</v>
      </c>
      <c r="O89" s="89">
        <f t="shared" si="49"/>
        <v>32475543</v>
      </c>
      <c r="P89" s="89">
        <f t="shared" si="49"/>
        <v>0</v>
      </c>
      <c r="Q89" s="89">
        <f t="shared" si="49"/>
        <v>32475543</v>
      </c>
      <c r="R89" s="89">
        <f>SUM(R90+R92+R94+R96+R98)</f>
        <v>0</v>
      </c>
      <c r="S89" s="89">
        <f>SUM(S90+S92+S94+S96+S98)</f>
        <v>32475543</v>
      </c>
      <c r="T89" s="89">
        <f>SUM(T90+T92+T94+T96+T98)</f>
        <v>0</v>
      </c>
      <c r="U89" s="89">
        <f>SUM(U90+U92+U94+U96+U98)</f>
        <v>32475543</v>
      </c>
    </row>
    <row r="90" spans="1:21" ht="12.95" customHeight="1" x14ac:dyDescent="0.2">
      <c r="A90" s="76"/>
      <c r="B90" s="114" t="s">
        <v>261</v>
      </c>
      <c r="C90" s="107"/>
      <c r="D90" s="109">
        <v>75801</v>
      </c>
      <c r="E90" s="113">
        <f t="shared" ref="E90:U90" si="50">SUM(E91)</f>
        <v>28585029</v>
      </c>
      <c r="F90" s="113">
        <f t="shared" si="50"/>
        <v>0</v>
      </c>
      <c r="G90" s="113">
        <f t="shared" si="50"/>
        <v>28585029</v>
      </c>
      <c r="H90" s="113">
        <f t="shared" si="50"/>
        <v>0</v>
      </c>
      <c r="I90" s="113">
        <f t="shared" si="50"/>
        <v>28585029</v>
      </c>
      <c r="J90" s="113">
        <f t="shared" si="50"/>
        <v>0</v>
      </c>
      <c r="K90" s="113">
        <f t="shared" si="50"/>
        <v>28585029</v>
      </c>
      <c r="L90" s="113">
        <f t="shared" si="50"/>
        <v>0</v>
      </c>
      <c r="M90" s="113">
        <f t="shared" si="50"/>
        <v>28585029</v>
      </c>
      <c r="N90" s="113">
        <f t="shared" si="50"/>
        <v>575149</v>
      </c>
      <c r="O90" s="113">
        <f t="shared" si="50"/>
        <v>29160178</v>
      </c>
      <c r="P90" s="113">
        <f t="shared" si="50"/>
        <v>0</v>
      </c>
      <c r="Q90" s="113">
        <f t="shared" si="50"/>
        <v>29160178</v>
      </c>
      <c r="R90" s="113">
        <f t="shared" si="50"/>
        <v>0</v>
      </c>
      <c r="S90" s="113">
        <f t="shared" si="50"/>
        <v>29160178</v>
      </c>
      <c r="T90" s="113">
        <f t="shared" si="50"/>
        <v>0</v>
      </c>
      <c r="U90" s="113">
        <f t="shared" si="50"/>
        <v>29160178</v>
      </c>
    </row>
    <row r="91" spans="1:21" ht="12.95" customHeight="1" x14ac:dyDescent="0.2">
      <c r="A91" s="39"/>
      <c r="B91" s="47" t="s">
        <v>75</v>
      </c>
      <c r="C91" s="66" t="s">
        <v>76</v>
      </c>
      <c r="D91" s="67"/>
      <c r="E91" s="55">
        <v>28585029</v>
      </c>
      <c r="F91" s="55"/>
      <c r="G91" s="55">
        <f>SUM(E91:F91)</f>
        <v>28585029</v>
      </c>
      <c r="H91" s="55"/>
      <c r="I91" s="55">
        <f>SUM(G91:H91)</f>
        <v>28585029</v>
      </c>
      <c r="J91" s="55"/>
      <c r="K91" s="55">
        <f>SUM(I91:J91)</f>
        <v>28585029</v>
      </c>
      <c r="L91" s="55"/>
      <c r="M91" s="55">
        <f>SUM(K91:L91)</f>
        <v>28585029</v>
      </c>
      <c r="N91" s="55">
        <v>575149</v>
      </c>
      <c r="O91" s="55">
        <f>SUM(M91:N91)</f>
        <v>29160178</v>
      </c>
      <c r="P91" s="55"/>
      <c r="Q91" s="55">
        <f>SUM(O91:P91)</f>
        <v>29160178</v>
      </c>
      <c r="R91" s="55"/>
      <c r="S91" s="55">
        <f>SUM(Q91:R91)</f>
        <v>29160178</v>
      </c>
      <c r="T91" s="55"/>
      <c r="U91" s="55">
        <f>SUM(S91:T91)</f>
        <v>29160178</v>
      </c>
    </row>
    <row r="92" spans="1:21" ht="12.95" hidden="1" customHeight="1" x14ac:dyDescent="0.2">
      <c r="A92" s="75"/>
      <c r="B92" s="110" t="s">
        <v>77</v>
      </c>
      <c r="C92" s="107"/>
      <c r="D92" s="109">
        <v>75802</v>
      </c>
      <c r="E92" s="105">
        <f t="shared" ref="E92:U92" si="51">SUM(E93)</f>
        <v>0</v>
      </c>
      <c r="F92" s="105">
        <f t="shared" si="51"/>
        <v>0</v>
      </c>
      <c r="G92" s="105">
        <f t="shared" si="51"/>
        <v>0</v>
      </c>
      <c r="H92" s="105">
        <f t="shared" si="51"/>
        <v>0</v>
      </c>
      <c r="I92" s="105">
        <f t="shared" si="51"/>
        <v>0</v>
      </c>
      <c r="J92" s="105">
        <f t="shared" si="51"/>
        <v>0</v>
      </c>
      <c r="K92" s="105">
        <f t="shared" si="51"/>
        <v>0</v>
      </c>
      <c r="L92" s="105">
        <f t="shared" si="51"/>
        <v>0</v>
      </c>
      <c r="M92" s="105">
        <f t="shared" si="51"/>
        <v>0</v>
      </c>
      <c r="N92" s="105">
        <f t="shared" si="51"/>
        <v>0</v>
      </c>
      <c r="O92" s="105">
        <f t="shared" si="51"/>
        <v>0</v>
      </c>
      <c r="P92" s="105">
        <f t="shared" si="51"/>
        <v>0</v>
      </c>
      <c r="Q92" s="105">
        <f t="shared" si="51"/>
        <v>0</v>
      </c>
      <c r="R92" s="105">
        <f t="shared" si="51"/>
        <v>0</v>
      </c>
      <c r="S92" s="105">
        <f t="shared" si="51"/>
        <v>0</v>
      </c>
      <c r="T92" s="105">
        <f t="shared" si="51"/>
        <v>0</v>
      </c>
      <c r="U92" s="105">
        <f t="shared" si="51"/>
        <v>0</v>
      </c>
    </row>
    <row r="93" spans="1:21" ht="12.95" hidden="1" customHeight="1" x14ac:dyDescent="0.2">
      <c r="A93" s="39"/>
      <c r="B93" s="47" t="s">
        <v>78</v>
      </c>
      <c r="C93" s="66" t="s">
        <v>79</v>
      </c>
      <c r="D93" s="67"/>
      <c r="E93" s="55"/>
      <c r="F93" s="55"/>
      <c r="G93" s="55">
        <f>SUM(E93:F93)</f>
        <v>0</v>
      </c>
      <c r="H93" s="55"/>
      <c r="I93" s="55">
        <f>SUM(G93:H93)</f>
        <v>0</v>
      </c>
      <c r="J93" s="55"/>
      <c r="K93" s="55">
        <f>SUM(I93:J93)</f>
        <v>0</v>
      </c>
      <c r="L93" s="55"/>
      <c r="M93" s="55">
        <f>SUM(K93:L93)</f>
        <v>0</v>
      </c>
      <c r="N93" s="55"/>
      <c r="O93" s="55">
        <f>SUM(M93:N93)</f>
        <v>0</v>
      </c>
      <c r="P93" s="55"/>
      <c r="Q93" s="55">
        <f>SUM(O93:P93)</f>
        <v>0</v>
      </c>
      <c r="R93" s="55"/>
      <c r="S93" s="55">
        <f>SUM(Q93:R93)</f>
        <v>0</v>
      </c>
      <c r="T93" s="55"/>
      <c r="U93" s="55">
        <f>SUM(S93:T93)</f>
        <v>0</v>
      </c>
    </row>
    <row r="94" spans="1:21" ht="12.95" customHeight="1" x14ac:dyDescent="0.2">
      <c r="A94" s="75"/>
      <c r="B94" s="102" t="s">
        <v>80</v>
      </c>
      <c r="C94" s="107"/>
      <c r="D94" s="109">
        <v>75803</v>
      </c>
      <c r="E94" s="105">
        <f t="shared" ref="E94:U94" si="52">SUM(E95)</f>
        <v>2681417</v>
      </c>
      <c r="F94" s="105">
        <f t="shared" si="52"/>
        <v>0</v>
      </c>
      <c r="G94" s="105">
        <f t="shared" si="52"/>
        <v>2681417</v>
      </c>
      <c r="H94" s="105">
        <f t="shared" si="52"/>
        <v>0</v>
      </c>
      <c r="I94" s="105">
        <f t="shared" si="52"/>
        <v>2681417</v>
      </c>
      <c r="J94" s="105">
        <f t="shared" si="52"/>
        <v>0</v>
      </c>
      <c r="K94" s="105">
        <f t="shared" si="52"/>
        <v>2681417</v>
      </c>
      <c r="L94" s="105">
        <f t="shared" si="52"/>
        <v>0</v>
      </c>
      <c r="M94" s="105">
        <f t="shared" si="52"/>
        <v>2681417</v>
      </c>
      <c r="N94" s="105">
        <f t="shared" si="52"/>
        <v>0</v>
      </c>
      <c r="O94" s="105">
        <f t="shared" si="52"/>
        <v>2681417</v>
      </c>
      <c r="P94" s="105">
        <f t="shared" si="52"/>
        <v>0</v>
      </c>
      <c r="Q94" s="105">
        <f t="shared" si="52"/>
        <v>2681417</v>
      </c>
      <c r="R94" s="105">
        <f t="shared" si="52"/>
        <v>0</v>
      </c>
      <c r="S94" s="105">
        <f t="shared" si="52"/>
        <v>2681417</v>
      </c>
      <c r="T94" s="105">
        <f t="shared" si="52"/>
        <v>0</v>
      </c>
      <c r="U94" s="105">
        <f t="shared" si="52"/>
        <v>2681417</v>
      </c>
    </row>
    <row r="95" spans="1:21" ht="12.95" customHeight="1" x14ac:dyDescent="0.2">
      <c r="A95" s="40"/>
      <c r="B95" s="47" t="s">
        <v>75</v>
      </c>
      <c r="C95" s="66" t="s">
        <v>76</v>
      </c>
      <c r="D95" s="67"/>
      <c r="E95" s="55">
        <v>2681417</v>
      </c>
      <c r="F95" s="55"/>
      <c r="G95" s="55">
        <f>SUM(E95:F95)</f>
        <v>2681417</v>
      </c>
      <c r="H95" s="55"/>
      <c r="I95" s="55">
        <f>SUM(G95:H95)</f>
        <v>2681417</v>
      </c>
      <c r="J95" s="55"/>
      <c r="K95" s="55">
        <f>SUM(I95:J95)</f>
        <v>2681417</v>
      </c>
      <c r="L95" s="55"/>
      <c r="M95" s="55">
        <f>SUM(K95:L95)</f>
        <v>2681417</v>
      </c>
      <c r="N95" s="55"/>
      <c r="O95" s="55">
        <f>SUM(M95:N95)</f>
        <v>2681417</v>
      </c>
      <c r="P95" s="55"/>
      <c r="Q95" s="55">
        <f>SUM(O95:P95)</f>
        <v>2681417</v>
      </c>
      <c r="R95" s="55"/>
      <c r="S95" s="55">
        <f>SUM(Q95:R95)</f>
        <v>2681417</v>
      </c>
      <c r="T95" s="55"/>
      <c r="U95" s="55">
        <f>SUM(S95:T95)</f>
        <v>2681417</v>
      </c>
    </row>
    <row r="96" spans="1:21" ht="12.95" customHeight="1" x14ac:dyDescent="0.2">
      <c r="A96" s="75"/>
      <c r="B96" s="102" t="s">
        <v>81</v>
      </c>
      <c r="C96" s="107"/>
      <c r="D96" s="109">
        <v>75832</v>
      </c>
      <c r="E96" s="105">
        <f t="shared" ref="E96:U96" si="53">SUM(E97)</f>
        <v>444793</v>
      </c>
      <c r="F96" s="105">
        <f t="shared" si="53"/>
        <v>0</v>
      </c>
      <c r="G96" s="105">
        <f t="shared" si="53"/>
        <v>444793</v>
      </c>
      <c r="H96" s="105">
        <f t="shared" si="53"/>
        <v>0</v>
      </c>
      <c r="I96" s="105">
        <f t="shared" si="53"/>
        <v>444793</v>
      </c>
      <c r="J96" s="105">
        <f t="shared" si="53"/>
        <v>0</v>
      </c>
      <c r="K96" s="105">
        <f t="shared" si="53"/>
        <v>444793</v>
      </c>
      <c r="L96" s="105">
        <f t="shared" si="53"/>
        <v>0</v>
      </c>
      <c r="M96" s="105">
        <f t="shared" si="53"/>
        <v>444793</v>
      </c>
      <c r="N96" s="105">
        <f t="shared" si="53"/>
        <v>1</v>
      </c>
      <c r="O96" s="105">
        <f t="shared" si="53"/>
        <v>444794</v>
      </c>
      <c r="P96" s="105">
        <f t="shared" si="53"/>
        <v>0</v>
      </c>
      <c r="Q96" s="105">
        <f t="shared" si="53"/>
        <v>444794</v>
      </c>
      <c r="R96" s="105">
        <f t="shared" si="53"/>
        <v>0</v>
      </c>
      <c r="S96" s="105">
        <f t="shared" si="53"/>
        <v>444794</v>
      </c>
      <c r="T96" s="105">
        <f t="shared" si="53"/>
        <v>0</v>
      </c>
      <c r="U96" s="105">
        <f t="shared" si="53"/>
        <v>444794</v>
      </c>
    </row>
    <row r="97" spans="1:21" ht="12.95" customHeight="1" x14ac:dyDescent="0.2">
      <c r="A97" s="40"/>
      <c r="B97" s="47" t="s">
        <v>75</v>
      </c>
      <c r="C97" s="66" t="s">
        <v>76</v>
      </c>
      <c r="D97" s="67"/>
      <c r="E97" s="55">
        <v>444793</v>
      </c>
      <c r="F97" s="55"/>
      <c r="G97" s="55">
        <f>SUM(E97:F97)</f>
        <v>444793</v>
      </c>
      <c r="H97" s="55"/>
      <c r="I97" s="55">
        <f>SUM(G97:H97)</f>
        <v>444793</v>
      </c>
      <c r="J97" s="55"/>
      <c r="K97" s="55">
        <f>SUM(I97:J97)</f>
        <v>444793</v>
      </c>
      <c r="L97" s="55"/>
      <c r="M97" s="55">
        <f>SUM(K97:L97)</f>
        <v>444793</v>
      </c>
      <c r="N97" s="55">
        <v>1</v>
      </c>
      <c r="O97" s="55">
        <f>SUM(M97:N97)</f>
        <v>444794</v>
      </c>
      <c r="P97" s="55"/>
      <c r="Q97" s="55">
        <f>SUM(O97:P97)</f>
        <v>444794</v>
      </c>
      <c r="R97" s="55"/>
      <c r="S97" s="55">
        <f>SUM(Q97:R97)</f>
        <v>444794</v>
      </c>
      <c r="T97" s="55"/>
      <c r="U97" s="55">
        <f>SUM(S97:T97)</f>
        <v>444794</v>
      </c>
    </row>
    <row r="98" spans="1:21" ht="12.95" customHeight="1" x14ac:dyDescent="0.2">
      <c r="A98" s="75"/>
      <c r="B98" s="102" t="s">
        <v>82</v>
      </c>
      <c r="C98" s="107"/>
      <c r="D98" s="109">
        <v>75814</v>
      </c>
      <c r="E98" s="105">
        <f t="shared" ref="E98:K98" si="54">SUM(E99:E100)</f>
        <v>145000</v>
      </c>
      <c r="F98" s="105">
        <f t="shared" si="54"/>
        <v>0</v>
      </c>
      <c r="G98" s="105">
        <f t="shared" si="54"/>
        <v>145000</v>
      </c>
      <c r="H98" s="105">
        <f t="shared" si="54"/>
        <v>0</v>
      </c>
      <c r="I98" s="105">
        <f t="shared" si="54"/>
        <v>145000</v>
      </c>
      <c r="J98" s="105">
        <f t="shared" si="54"/>
        <v>0</v>
      </c>
      <c r="K98" s="105">
        <f t="shared" si="54"/>
        <v>145000</v>
      </c>
      <c r="L98" s="105">
        <f t="shared" ref="L98:Q98" si="55">SUM(L99:L100)</f>
        <v>0</v>
      </c>
      <c r="M98" s="105">
        <f t="shared" si="55"/>
        <v>145000</v>
      </c>
      <c r="N98" s="105">
        <f t="shared" si="55"/>
        <v>44154</v>
      </c>
      <c r="O98" s="105">
        <f t="shared" si="55"/>
        <v>189154</v>
      </c>
      <c r="P98" s="105">
        <f t="shared" si="55"/>
        <v>0</v>
      </c>
      <c r="Q98" s="105">
        <f t="shared" si="55"/>
        <v>189154</v>
      </c>
      <c r="R98" s="105">
        <f>SUM(R99:R100)</f>
        <v>0</v>
      </c>
      <c r="S98" s="105">
        <f>SUM(S99:S100)</f>
        <v>189154</v>
      </c>
      <c r="T98" s="105">
        <f>SUM(T99:T100)</f>
        <v>0</v>
      </c>
      <c r="U98" s="105">
        <f>SUM(U99:U100)</f>
        <v>189154</v>
      </c>
    </row>
    <row r="99" spans="1:21" x14ac:dyDescent="0.2">
      <c r="A99" s="40"/>
      <c r="B99" s="48" t="s">
        <v>42</v>
      </c>
      <c r="C99" s="66" t="s">
        <v>43</v>
      </c>
      <c r="D99" s="67"/>
      <c r="E99" s="55">
        <v>145000</v>
      </c>
      <c r="F99" s="55"/>
      <c r="G99" s="55">
        <f>SUM(E99:F99)</f>
        <v>145000</v>
      </c>
      <c r="H99" s="55"/>
      <c r="I99" s="55">
        <f>SUM(G99:H99)</f>
        <v>145000</v>
      </c>
      <c r="J99" s="55"/>
      <c r="K99" s="55">
        <f>SUM(I99:J99)</f>
        <v>145000</v>
      </c>
      <c r="L99" s="55"/>
      <c r="M99" s="55">
        <f>SUM(K99:L99)</f>
        <v>145000</v>
      </c>
      <c r="N99" s="55"/>
      <c r="O99" s="55">
        <f>SUM(M99:N99)</f>
        <v>145000</v>
      </c>
      <c r="P99" s="55"/>
      <c r="Q99" s="55">
        <f>SUM(O99:P99)</f>
        <v>145000</v>
      </c>
      <c r="R99" s="55"/>
      <c r="S99" s="55">
        <f>SUM(Q99:R99)</f>
        <v>145000</v>
      </c>
      <c r="T99" s="55"/>
      <c r="U99" s="55">
        <f>SUM(S99:T99)</f>
        <v>145000</v>
      </c>
    </row>
    <row r="100" spans="1:21" x14ac:dyDescent="0.2">
      <c r="A100" s="40"/>
      <c r="B100" s="48" t="s">
        <v>7</v>
      </c>
      <c r="C100" s="66" t="s">
        <v>8</v>
      </c>
      <c r="D100" s="67"/>
      <c r="E100" s="55"/>
      <c r="F100" s="55"/>
      <c r="G100" s="55">
        <f>SUM(E100:F100)</f>
        <v>0</v>
      </c>
      <c r="H100" s="55"/>
      <c r="I100" s="55">
        <f>SUM(G100:H100)</f>
        <v>0</v>
      </c>
      <c r="J100" s="55"/>
      <c r="K100" s="55">
        <f>SUM(I100:J100)</f>
        <v>0</v>
      </c>
      <c r="L100" s="55"/>
      <c r="M100" s="55">
        <f>SUM(K100:L100)</f>
        <v>0</v>
      </c>
      <c r="N100" s="55">
        <f>43850+304</f>
        <v>44154</v>
      </c>
      <c r="O100" s="55">
        <f>SUM(M100:N100)</f>
        <v>44154</v>
      </c>
      <c r="P100" s="55"/>
      <c r="Q100" s="55">
        <f>SUM(O100:P100)</f>
        <v>44154</v>
      </c>
      <c r="R100" s="55"/>
      <c r="S100" s="55">
        <f>SUM(Q100:R100)</f>
        <v>44154</v>
      </c>
      <c r="T100" s="55"/>
      <c r="U100" s="55">
        <f>SUM(S100:T100)</f>
        <v>44154</v>
      </c>
    </row>
    <row r="101" spans="1:21" ht="12.95" customHeight="1" x14ac:dyDescent="0.2">
      <c r="A101" s="90">
        <v>801</v>
      </c>
      <c r="B101" s="88" t="s">
        <v>83</v>
      </c>
      <c r="C101" s="85"/>
      <c r="D101" s="86"/>
      <c r="E101" s="89">
        <f t="shared" ref="E101:K101" si="56">SUM(E102+E109+E113+E115+E124+E133+E136+E138)</f>
        <v>3487173</v>
      </c>
      <c r="F101" s="89">
        <f t="shared" si="56"/>
        <v>0</v>
      </c>
      <c r="G101" s="89">
        <f t="shared" si="56"/>
        <v>3487173</v>
      </c>
      <c r="H101" s="89">
        <f t="shared" si="56"/>
        <v>332121</v>
      </c>
      <c r="I101" s="89">
        <f t="shared" si="56"/>
        <v>3819294</v>
      </c>
      <c r="J101" s="89">
        <f t="shared" si="56"/>
        <v>283814</v>
      </c>
      <c r="K101" s="89">
        <f t="shared" si="56"/>
        <v>4103108</v>
      </c>
      <c r="L101" s="89">
        <f t="shared" ref="L101:Q101" si="57">SUM(L102+L109+L113+L115+L124+L133+L136+L138)</f>
        <v>0</v>
      </c>
      <c r="M101" s="89">
        <f t="shared" si="57"/>
        <v>4103108</v>
      </c>
      <c r="N101" s="89">
        <f t="shared" si="57"/>
        <v>1388830</v>
      </c>
      <c r="O101" s="89">
        <f t="shared" si="57"/>
        <v>5491938</v>
      </c>
      <c r="P101" s="89">
        <f t="shared" si="57"/>
        <v>-719491</v>
      </c>
      <c r="Q101" s="89">
        <f t="shared" si="57"/>
        <v>4772447</v>
      </c>
      <c r="R101" s="89">
        <f>SUM(R102+R109+R113+R115+R124+R133+R136+R138)</f>
        <v>0</v>
      </c>
      <c r="S101" s="89">
        <f>SUM(S102+S109+S113+S115+S124+S133+S136+S138)</f>
        <v>4772447</v>
      </c>
      <c r="T101" s="89">
        <f>SUM(T102+T109+T113+T115+T124+T133+T136+T138)</f>
        <v>-106132</v>
      </c>
      <c r="U101" s="89">
        <f>SUM(U102+U109+U113+U115+U124+U133+U136+U138)</f>
        <v>4666315</v>
      </c>
    </row>
    <row r="102" spans="1:21" ht="12.95" customHeight="1" x14ac:dyDescent="0.2">
      <c r="A102" s="75"/>
      <c r="B102" s="110" t="s">
        <v>84</v>
      </c>
      <c r="C102" s="107"/>
      <c r="D102" s="109">
        <v>80102</v>
      </c>
      <c r="E102" s="105">
        <f t="shared" ref="E102:K102" si="58">SUM(E103:E106)</f>
        <v>90500</v>
      </c>
      <c r="F102" s="105">
        <f t="shared" si="58"/>
        <v>0</v>
      </c>
      <c r="G102" s="105">
        <f t="shared" si="58"/>
        <v>90500</v>
      </c>
      <c r="H102" s="105">
        <f t="shared" si="58"/>
        <v>0</v>
      </c>
      <c r="I102" s="105">
        <f t="shared" si="58"/>
        <v>90500</v>
      </c>
      <c r="J102" s="105">
        <f t="shared" si="58"/>
        <v>0</v>
      </c>
      <c r="K102" s="105">
        <f t="shared" si="58"/>
        <v>90500</v>
      </c>
      <c r="L102" s="105">
        <f>SUM(L103:L106)</f>
        <v>0</v>
      </c>
      <c r="M102" s="105">
        <f t="shared" ref="M102:S102" si="59">SUM(M103:M108)</f>
        <v>90500</v>
      </c>
      <c r="N102" s="105">
        <f t="shared" si="59"/>
        <v>30000</v>
      </c>
      <c r="O102" s="105">
        <f t="shared" si="59"/>
        <v>120500</v>
      </c>
      <c r="P102" s="105">
        <f t="shared" si="59"/>
        <v>0</v>
      </c>
      <c r="Q102" s="105">
        <f t="shared" si="59"/>
        <v>120500</v>
      </c>
      <c r="R102" s="105">
        <f t="shared" si="59"/>
        <v>0</v>
      </c>
      <c r="S102" s="105">
        <f t="shared" si="59"/>
        <v>120500</v>
      </c>
      <c r="T102" s="105">
        <f>SUM(T103:T108)</f>
        <v>0</v>
      </c>
      <c r="U102" s="105">
        <f>SUM(U103:U108)</f>
        <v>120500</v>
      </c>
    </row>
    <row r="103" spans="1:21" ht="12.95" customHeight="1" x14ac:dyDescent="0.2">
      <c r="A103" s="36"/>
      <c r="B103" s="47" t="s">
        <v>56</v>
      </c>
      <c r="C103" s="66" t="s">
        <v>57</v>
      </c>
      <c r="D103" s="67"/>
      <c r="E103" s="55">
        <v>9000</v>
      </c>
      <c r="F103" s="55"/>
      <c r="G103" s="55">
        <f>SUM(E103:F103)</f>
        <v>9000</v>
      </c>
      <c r="H103" s="55"/>
      <c r="I103" s="55">
        <f>SUM(G103:H103)</f>
        <v>9000</v>
      </c>
      <c r="J103" s="55"/>
      <c r="K103" s="55">
        <f>SUM(I103:J103)</f>
        <v>9000</v>
      </c>
      <c r="L103" s="55"/>
      <c r="M103" s="55">
        <f>SUM(K103:L103)</f>
        <v>9000</v>
      </c>
      <c r="N103" s="55"/>
      <c r="O103" s="55">
        <f t="shared" ref="O103:O108" si="60">SUM(M103:N103)</f>
        <v>9000</v>
      </c>
      <c r="P103" s="55"/>
      <c r="Q103" s="55">
        <f t="shared" ref="Q103:Q108" si="61">SUM(O103:P103)</f>
        <v>9000</v>
      </c>
      <c r="R103" s="55"/>
      <c r="S103" s="55">
        <f t="shared" ref="S103:S108" si="62">SUM(Q103:R103)</f>
        <v>9000</v>
      </c>
      <c r="T103" s="55"/>
      <c r="U103" s="55">
        <f t="shared" ref="U103:U108" si="63">SUM(S103:T103)</f>
        <v>9000</v>
      </c>
    </row>
    <row r="104" spans="1:21" ht="12.95" customHeight="1" x14ac:dyDescent="0.2">
      <c r="A104" s="36"/>
      <c r="B104" s="47" t="s">
        <v>48</v>
      </c>
      <c r="C104" s="66" t="s">
        <v>49</v>
      </c>
      <c r="D104" s="67"/>
      <c r="E104" s="55">
        <v>80000</v>
      </c>
      <c r="F104" s="55"/>
      <c r="G104" s="55">
        <f>SUM(E104:F104)</f>
        <v>80000</v>
      </c>
      <c r="H104" s="55"/>
      <c r="I104" s="55">
        <f>SUM(G104:H104)</f>
        <v>80000</v>
      </c>
      <c r="J104" s="55"/>
      <c r="K104" s="55">
        <f>SUM(I104:J104)</f>
        <v>80000</v>
      </c>
      <c r="L104" s="55"/>
      <c r="M104" s="55">
        <f>SUM(K104:L104)</f>
        <v>80000</v>
      </c>
      <c r="N104" s="55"/>
      <c r="O104" s="55">
        <f t="shared" si="60"/>
        <v>80000</v>
      </c>
      <c r="P104" s="55"/>
      <c r="Q104" s="55">
        <f t="shared" si="61"/>
        <v>80000</v>
      </c>
      <c r="R104" s="55"/>
      <c r="S104" s="55">
        <f t="shared" si="62"/>
        <v>80000</v>
      </c>
      <c r="T104" s="55"/>
      <c r="U104" s="55">
        <f t="shared" si="63"/>
        <v>80000</v>
      </c>
    </row>
    <row r="105" spans="1:21" ht="12.95" customHeight="1" x14ac:dyDescent="0.2">
      <c r="A105" s="36"/>
      <c r="B105" s="47" t="s">
        <v>42</v>
      </c>
      <c r="C105" s="66" t="s">
        <v>43</v>
      </c>
      <c r="D105" s="67"/>
      <c r="E105" s="55">
        <v>1000</v>
      </c>
      <c r="F105" s="55"/>
      <c r="G105" s="55">
        <f>SUM(E105:F105)</f>
        <v>1000</v>
      </c>
      <c r="H105" s="55"/>
      <c r="I105" s="55">
        <f>SUM(G105:H105)</f>
        <v>1000</v>
      </c>
      <c r="J105" s="55"/>
      <c r="K105" s="55">
        <f>SUM(I105:J105)</f>
        <v>1000</v>
      </c>
      <c r="L105" s="55"/>
      <c r="M105" s="55">
        <f>SUM(K105:L105)</f>
        <v>1000</v>
      </c>
      <c r="N105" s="55"/>
      <c r="O105" s="55">
        <f t="shared" si="60"/>
        <v>1000</v>
      </c>
      <c r="P105" s="55"/>
      <c r="Q105" s="55">
        <f t="shared" si="61"/>
        <v>1000</v>
      </c>
      <c r="R105" s="55"/>
      <c r="S105" s="55">
        <f t="shared" si="62"/>
        <v>1000</v>
      </c>
      <c r="T105" s="55"/>
      <c r="U105" s="55">
        <f t="shared" si="63"/>
        <v>1000</v>
      </c>
    </row>
    <row r="106" spans="1:21" x14ac:dyDescent="0.2">
      <c r="A106" s="36"/>
      <c r="B106" s="48" t="s">
        <v>7</v>
      </c>
      <c r="C106" s="66" t="s">
        <v>8</v>
      </c>
      <c r="D106" s="67"/>
      <c r="E106" s="55">
        <v>500</v>
      </c>
      <c r="F106" s="55"/>
      <c r="G106" s="55">
        <f>SUM(E106:F106)</f>
        <v>500</v>
      </c>
      <c r="H106" s="55"/>
      <c r="I106" s="55">
        <f>SUM(G106:H106)</f>
        <v>500</v>
      </c>
      <c r="J106" s="55"/>
      <c r="K106" s="55">
        <f>SUM(I106:J106)</f>
        <v>500</v>
      </c>
      <c r="L106" s="55"/>
      <c r="M106" s="55">
        <f>SUM(K106:L106)</f>
        <v>500</v>
      </c>
      <c r="N106" s="55"/>
      <c r="O106" s="55">
        <f t="shared" si="60"/>
        <v>500</v>
      </c>
      <c r="P106" s="55"/>
      <c r="Q106" s="55">
        <f t="shared" si="61"/>
        <v>500</v>
      </c>
      <c r="R106" s="55"/>
      <c r="S106" s="55">
        <f t="shared" si="62"/>
        <v>500</v>
      </c>
      <c r="T106" s="55"/>
      <c r="U106" s="55">
        <f t="shared" si="63"/>
        <v>500</v>
      </c>
    </row>
    <row r="107" spans="1:21" x14ac:dyDescent="0.2">
      <c r="A107" s="36"/>
      <c r="B107" s="48" t="s">
        <v>17</v>
      </c>
      <c r="C107" s="66" t="s">
        <v>85</v>
      </c>
      <c r="D107" s="67"/>
      <c r="E107" s="55"/>
      <c r="F107" s="55"/>
      <c r="G107" s="55"/>
      <c r="H107" s="55"/>
      <c r="I107" s="55"/>
      <c r="J107" s="55"/>
      <c r="K107" s="55"/>
      <c r="L107" s="55"/>
      <c r="M107" s="55"/>
      <c r="N107" s="55">
        <v>25500</v>
      </c>
      <c r="O107" s="55">
        <f t="shared" si="60"/>
        <v>25500</v>
      </c>
      <c r="P107" s="55"/>
      <c r="Q107" s="55">
        <f t="shared" si="61"/>
        <v>25500</v>
      </c>
      <c r="R107" s="55"/>
      <c r="S107" s="55">
        <f t="shared" si="62"/>
        <v>25500</v>
      </c>
      <c r="T107" s="55"/>
      <c r="U107" s="55">
        <f t="shared" si="63"/>
        <v>25500</v>
      </c>
    </row>
    <row r="108" spans="1:21" x14ac:dyDescent="0.2">
      <c r="A108" s="36"/>
      <c r="B108" s="48" t="s">
        <v>17</v>
      </c>
      <c r="C108" s="66" t="s">
        <v>86</v>
      </c>
      <c r="D108" s="67"/>
      <c r="E108" s="55"/>
      <c r="F108" s="55"/>
      <c r="G108" s="55"/>
      <c r="H108" s="55"/>
      <c r="I108" s="55"/>
      <c r="J108" s="55"/>
      <c r="K108" s="55"/>
      <c r="L108" s="55"/>
      <c r="M108" s="55"/>
      <c r="N108" s="55">
        <v>4500</v>
      </c>
      <c r="O108" s="55">
        <f t="shared" si="60"/>
        <v>4500</v>
      </c>
      <c r="P108" s="55"/>
      <c r="Q108" s="55">
        <f t="shared" si="61"/>
        <v>4500</v>
      </c>
      <c r="R108" s="55"/>
      <c r="S108" s="55">
        <f t="shared" si="62"/>
        <v>4500</v>
      </c>
      <c r="T108" s="55"/>
      <c r="U108" s="55">
        <f t="shared" si="63"/>
        <v>4500</v>
      </c>
    </row>
    <row r="109" spans="1:21" x14ac:dyDescent="0.2">
      <c r="A109" s="75"/>
      <c r="B109" s="102" t="s">
        <v>271</v>
      </c>
      <c r="C109" s="107"/>
      <c r="D109" s="109">
        <v>80105</v>
      </c>
      <c r="E109" s="105">
        <f t="shared" ref="E109:K109" si="64">SUM(E110:E112)</f>
        <v>0</v>
      </c>
      <c r="F109" s="105">
        <f t="shared" si="64"/>
        <v>0</v>
      </c>
      <c r="G109" s="105">
        <f t="shared" si="64"/>
        <v>0</v>
      </c>
      <c r="H109" s="105">
        <f t="shared" si="64"/>
        <v>0</v>
      </c>
      <c r="I109" s="105">
        <f t="shared" si="64"/>
        <v>0</v>
      </c>
      <c r="J109" s="105">
        <f t="shared" si="64"/>
        <v>0</v>
      </c>
      <c r="K109" s="105">
        <f t="shared" si="64"/>
        <v>0</v>
      </c>
      <c r="L109" s="105">
        <f t="shared" ref="L109:Q109" si="65">SUM(L110:L112)</f>
        <v>0</v>
      </c>
      <c r="M109" s="105">
        <f t="shared" si="65"/>
        <v>0</v>
      </c>
      <c r="N109" s="105">
        <f t="shared" si="65"/>
        <v>0</v>
      </c>
      <c r="O109" s="105">
        <f t="shared" si="65"/>
        <v>0</v>
      </c>
      <c r="P109" s="105">
        <f t="shared" si="65"/>
        <v>0</v>
      </c>
      <c r="Q109" s="105">
        <f t="shared" si="65"/>
        <v>0</v>
      </c>
      <c r="R109" s="105">
        <f>SUM(R110:R112)</f>
        <v>0</v>
      </c>
      <c r="S109" s="105">
        <f>SUM(S110:S112)</f>
        <v>0</v>
      </c>
      <c r="T109" s="105">
        <f>SUM(T110:T112)</f>
        <v>0</v>
      </c>
      <c r="U109" s="105">
        <f>SUM(U110:U112)</f>
        <v>0</v>
      </c>
    </row>
    <row r="110" spans="1:21" x14ac:dyDescent="0.2">
      <c r="A110" s="36"/>
      <c r="B110" s="48" t="s">
        <v>7</v>
      </c>
      <c r="C110" s="66" t="s">
        <v>8</v>
      </c>
      <c r="D110" s="67"/>
      <c r="E110" s="55"/>
      <c r="F110" s="55"/>
      <c r="G110" s="55">
        <f>SUM(E110:F110)</f>
        <v>0</v>
      </c>
      <c r="H110" s="55"/>
      <c r="I110" s="55">
        <f>SUM(G110:H110)</f>
        <v>0</v>
      </c>
      <c r="J110" s="55"/>
      <c r="K110" s="55">
        <f>SUM(I110:J110)</f>
        <v>0</v>
      </c>
      <c r="L110" s="55"/>
      <c r="M110" s="55">
        <f>SUM(K110:L110)</f>
        <v>0</v>
      </c>
      <c r="N110" s="55"/>
      <c r="O110" s="55">
        <f>SUM(M110:N110)</f>
        <v>0</v>
      </c>
      <c r="P110" s="55"/>
      <c r="Q110" s="55">
        <f>SUM(O110:P110)</f>
        <v>0</v>
      </c>
      <c r="R110" s="55"/>
      <c r="S110" s="55">
        <f>SUM(Q110:R110)</f>
        <v>0</v>
      </c>
      <c r="T110" s="55"/>
      <c r="U110" s="55">
        <f>SUM(S110:T110)</f>
        <v>0</v>
      </c>
    </row>
    <row r="111" spans="1:21" x14ac:dyDescent="0.2">
      <c r="A111" s="36"/>
      <c r="B111" s="47" t="s">
        <v>17</v>
      </c>
      <c r="C111" s="66" t="s">
        <v>85</v>
      </c>
      <c r="D111" s="67"/>
      <c r="E111" s="55"/>
      <c r="F111" s="55"/>
      <c r="G111" s="55">
        <f>SUM(E111:F111)</f>
        <v>0</v>
      </c>
      <c r="H111" s="55"/>
      <c r="I111" s="55">
        <f>SUM(G111:H111)</f>
        <v>0</v>
      </c>
      <c r="J111" s="55"/>
      <c r="K111" s="55">
        <f>SUM(I111:J111)</f>
        <v>0</v>
      </c>
      <c r="L111" s="55"/>
      <c r="M111" s="55">
        <f>SUM(K111:L111)</f>
        <v>0</v>
      </c>
      <c r="N111" s="55"/>
      <c r="O111" s="55">
        <f>SUM(M111:N111)</f>
        <v>0</v>
      </c>
      <c r="P111" s="55"/>
      <c r="Q111" s="55">
        <f>SUM(O111:P111)</f>
        <v>0</v>
      </c>
      <c r="R111" s="55"/>
      <c r="S111" s="55">
        <f>SUM(Q111:R111)</f>
        <v>0</v>
      </c>
      <c r="T111" s="55"/>
      <c r="U111" s="55">
        <f>SUM(S111:T111)</f>
        <v>0</v>
      </c>
    </row>
    <row r="112" spans="1:21" x14ac:dyDescent="0.2">
      <c r="A112" s="36"/>
      <c r="B112" s="47" t="s">
        <v>17</v>
      </c>
      <c r="C112" s="66" t="s">
        <v>86</v>
      </c>
      <c r="D112" s="67"/>
      <c r="E112" s="55"/>
      <c r="F112" s="55"/>
      <c r="G112" s="55">
        <f>SUM(E112:F112)</f>
        <v>0</v>
      </c>
      <c r="H112" s="55"/>
      <c r="I112" s="55">
        <f>SUM(G112:H112)</f>
        <v>0</v>
      </c>
      <c r="J112" s="55"/>
      <c r="K112" s="55">
        <f>SUM(I112:J112)</f>
        <v>0</v>
      </c>
      <c r="L112" s="55"/>
      <c r="M112" s="55">
        <f>SUM(K112:L112)</f>
        <v>0</v>
      </c>
      <c r="N112" s="55"/>
      <c r="O112" s="55">
        <f>SUM(M112:N112)</f>
        <v>0</v>
      </c>
      <c r="P112" s="55"/>
      <c r="Q112" s="55">
        <f>SUM(O112:P112)</f>
        <v>0</v>
      </c>
      <c r="R112" s="55"/>
      <c r="S112" s="55">
        <f>SUM(Q112:R112)</f>
        <v>0</v>
      </c>
      <c r="T112" s="55"/>
      <c r="U112" s="55">
        <f>SUM(S112:T112)</f>
        <v>0</v>
      </c>
    </row>
    <row r="113" spans="1:21" x14ac:dyDescent="0.2">
      <c r="A113" s="77"/>
      <c r="B113" s="102" t="s">
        <v>87</v>
      </c>
      <c r="C113" s="107"/>
      <c r="D113" s="109">
        <v>80111</v>
      </c>
      <c r="E113" s="105">
        <f t="shared" ref="E113:U113" si="66">SUM(E114)</f>
        <v>0</v>
      </c>
      <c r="F113" s="105">
        <f t="shared" si="66"/>
        <v>0</v>
      </c>
      <c r="G113" s="105">
        <f t="shared" si="66"/>
        <v>0</v>
      </c>
      <c r="H113" s="105">
        <f t="shared" si="66"/>
        <v>0</v>
      </c>
      <c r="I113" s="105">
        <f t="shared" si="66"/>
        <v>0</v>
      </c>
      <c r="J113" s="105">
        <f t="shared" si="66"/>
        <v>0</v>
      </c>
      <c r="K113" s="105">
        <f t="shared" si="66"/>
        <v>0</v>
      </c>
      <c r="L113" s="105">
        <f t="shared" si="66"/>
        <v>0</v>
      </c>
      <c r="M113" s="105">
        <f t="shared" si="66"/>
        <v>0</v>
      </c>
      <c r="N113" s="105">
        <f t="shared" si="66"/>
        <v>0</v>
      </c>
      <c r="O113" s="105">
        <f t="shared" si="66"/>
        <v>0</v>
      </c>
      <c r="P113" s="105">
        <f t="shared" si="66"/>
        <v>0</v>
      </c>
      <c r="Q113" s="105">
        <f t="shared" si="66"/>
        <v>0</v>
      </c>
      <c r="R113" s="105">
        <f t="shared" si="66"/>
        <v>0</v>
      </c>
      <c r="S113" s="105">
        <f t="shared" si="66"/>
        <v>0</v>
      </c>
      <c r="T113" s="105">
        <f t="shared" si="66"/>
        <v>0</v>
      </c>
      <c r="U113" s="105">
        <f t="shared" si="66"/>
        <v>0</v>
      </c>
    </row>
    <row r="114" spans="1:21" x14ac:dyDescent="0.2">
      <c r="A114" s="37"/>
      <c r="B114" s="48" t="s">
        <v>7</v>
      </c>
      <c r="C114" s="66" t="s">
        <v>8</v>
      </c>
      <c r="D114" s="67"/>
      <c r="E114" s="55"/>
      <c r="F114" s="55"/>
      <c r="G114" s="55">
        <f>SUM(E114:F114)</f>
        <v>0</v>
      </c>
      <c r="H114" s="55"/>
      <c r="I114" s="55">
        <f>SUM(G114:H114)</f>
        <v>0</v>
      </c>
      <c r="J114" s="55"/>
      <c r="K114" s="55">
        <f>SUM(I114:J114)</f>
        <v>0</v>
      </c>
      <c r="L114" s="55"/>
      <c r="M114" s="55">
        <f>SUM(K114:L114)</f>
        <v>0</v>
      </c>
      <c r="N114" s="55"/>
      <c r="O114" s="55">
        <f>SUM(M114:N114)</f>
        <v>0</v>
      </c>
      <c r="P114" s="55"/>
      <c r="Q114" s="55">
        <f>SUM(O114:P114)</f>
        <v>0</v>
      </c>
      <c r="R114" s="55"/>
      <c r="S114" s="55">
        <f>SUM(Q114:R114)</f>
        <v>0</v>
      </c>
      <c r="T114" s="55"/>
      <c r="U114" s="55">
        <f>SUM(S114:T114)</f>
        <v>0</v>
      </c>
    </row>
    <row r="115" spans="1:21" ht="12.95" customHeight="1" x14ac:dyDescent="0.2">
      <c r="A115" s="77"/>
      <c r="B115" s="110" t="s">
        <v>88</v>
      </c>
      <c r="C115" s="107"/>
      <c r="D115" s="109">
        <v>80120</v>
      </c>
      <c r="E115" s="111">
        <f t="shared" ref="E115:K115" si="67">SUM(E116:E123)</f>
        <v>111431</v>
      </c>
      <c r="F115" s="111">
        <f t="shared" si="67"/>
        <v>0</v>
      </c>
      <c r="G115" s="111">
        <f t="shared" si="67"/>
        <v>111431</v>
      </c>
      <c r="H115" s="111">
        <f t="shared" si="67"/>
        <v>0</v>
      </c>
      <c r="I115" s="111">
        <f t="shared" si="67"/>
        <v>111431</v>
      </c>
      <c r="J115" s="111">
        <f t="shared" si="67"/>
        <v>0</v>
      </c>
      <c r="K115" s="111">
        <f t="shared" si="67"/>
        <v>111431</v>
      </c>
      <c r="L115" s="111">
        <f t="shared" ref="L115:Q115" si="68">SUM(L116:L123)</f>
        <v>0</v>
      </c>
      <c r="M115" s="111">
        <f t="shared" si="68"/>
        <v>111431</v>
      </c>
      <c r="N115" s="111">
        <f t="shared" si="68"/>
        <v>0</v>
      </c>
      <c r="O115" s="111">
        <f t="shared" si="68"/>
        <v>111431</v>
      </c>
      <c r="P115" s="111">
        <f t="shared" si="68"/>
        <v>0</v>
      </c>
      <c r="Q115" s="111">
        <f t="shared" si="68"/>
        <v>111431</v>
      </c>
      <c r="R115" s="111">
        <f>SUM(R116:R123)</f>
        <v>0</v>
      </c>
      <c r="S115" s="111">
        <f>SUM(S116:S123)</f>
        <v>111431</v>
      </c>
      <c r="T115" s="111">
        <f>SUM(T116:T123)</f>
        <v>0</v>
      </c>
      <c r="U115" s="111">
        <f>SUM(U116:U123)</f>
        <v>111431</v>
      </c>
    </row>
    <row r="116" spans="1:21" ht="12.95" customHeight="1" x14ac:dyDescent="0.2">
      <c r="A116" s="37"/>
      <c r="B116" s="46" t="s">
        <v>13</v>
      </c>
      <c r="C116" s="66" t="s">
        <v>14</v>
      </c>
      <c r="D116" s="67"/>
      <c r="E116" s="56">
        <v>550</v>
      </c>
      <c r="F116" s="56"/>
      <c r="G116" s="56">
        <f>SUM(E116:F116)</f>
        <v>550</v>
      </c>
      <c r="H116" s="56"/>
      <c r="I116" s="56">
        <f>SUM(G116:H116)</f>
        <v>550</v>
      </c>
      <c r="J116" s="56"/>
      <c r="K116" s="56">
        <f>SUM(I116:J116)</f>
        <v>550</v>
      </c>
      <c r="L116" s="56"/>
      <c r="M116" s="56">
        <f>SUM(K116:L116)</f>
        <v>550</v>
      </c>
      <c r="N116" s="56"/>
      <c r="O116" s="56">
        <f>SUM(M116:N116)</f>
        <v>550</v>
      </c>
      <c r="P116" s="56"/>
      <c r="Q116" s="56">
        <f>SUM(O116:P116)</f>
        <v>550</v>
      </c>
      <c r="R116" s="56"/>
      <c r="S116" s="56">
        <f>SUM(Q116:R116)</f>
        <v>550</v>
      </c>
      <c r="T116" s="56"/>
      <c r="U116" s="56">
        <f>SUM(S116:T116)</f>
        <v>550</v>
      </c>
    </row>
    <row r="117" spans="1:21" ht="12.95" customHeight="1" x14ac:dyDescent="0.2">
      <c r="A117" s="37"/>
      <c r="B117" s="47" t="s">
        <v>56</v>
      </c>
      <c r="C117" s="66" t="s">
        <v>57</v>
      </c>
      <c r="D117" s="67"/>
      <c r="E117" s="55">
        <v>23606</v>
      </c>
      <c r="F117" s="55"/>
      <c r="G117" s="56">
        <f t="shared" ref="G117:G123" si="69">SUM(E117:F117)</f>
        <v>23606</v>
      </c>
      <c r="H117" s="55"/>
      <c r="I117" s="56">
        <f t="shared" ref="I117:I123" si="70">SUM(G117:H117)</f>
        <v>23606</v>
      </c>
      <c r="J117" s="55"/>
      <c r="K117" s="56">
        <f t="shared" ref="K117:K123" si="71">SUM(I117:J117)</f>
        <v>23606</v>
      </c>
      <c r="L117" s="55"/>
      <c r="M117" s="56">
        <f t="shared" ref="M117:M123" si="72">SUM(K117:L117)</f>
        <v>23606</v>
      </c>
      <c r="N117" s="55"/>
      <c r="O117" s="56">
        <f t="shared" ref="O117:O123" si="73">SUM(M117:N117)</f>
        <v>23606</v>
      </c>
      <c r="P117" s="55"/>
      <c r="Q117" s="56">
        <f t="shared" ref="Q117:Q123" si="74">SUM(O117:P117)</f>
        <v>23606</v>
      </c>
      <c r="R117" s="55"/>
      <c r="S117" s="56">
        <f t="shared" ref="S117:S123" si="75">SUM(Q117:R117)</f>
        <v>23606</v>
      </c>
      <c r="T117" s="55"/>
      <c r="U117" s="56">
        <f t="shared" ref="U117:U123" si="76">SUM(S117:T117)</f>
        <v>23606</v>
      </c>
    </row>
    <row r="118" spans="1:21" ht="12.95" customHeight="1" x14ac:dyDescent="0.2">
      <c r="A118" s="37"/>
      <c r="B118" s="47" t="s">
        <v>48</v>
      </c>
      <c r="C118" s="66" t="s">
        <v>49</v>
      </c>
      <c r="D118" s="67"/>
      <c r="E118" s="55">
        <v>1000</v>
      </c>
      <c r="F118" s="55"/>
      <c r="G118" s="56">
        <f t="shared" si="69"/>
        <v>1000</v>
      </c>
      <c r="H118" s="55"/>
      <c r="I118" s="56">
        <f t="shared" si="70"/>
        <v>1000</v>
      </c>
      <c r="J118" s="55"/>
      <c r="K118" s="56">
        <f t="shared" si="71"/>
        <v>1000</v>
      </c>
      <c r="L118" s="55"/>
      <c r="M118" s="56">
        <f t="shared" si="72"/>
        <v>1000</v>
      </c>
      <c r="N118" s="55"/>
      <c r="O118" s="56">
        <f t="shared" si="73"/>
        <v>1000</v>
      </c>
      <c r="P118" s="55"/>
      <c r="Q118" s="56">
        <f t="shared" si="74"/>
        <v>1000</v>
      </c>
      <c r="R118" s="55"/>
      <c r="S118" s="56">
        <f t="shared" si="75"/>
        <v>1000</v>
      </c>
      <c r="T118" s="55"/>
      <c r="U118" s="56">
        <f t="shared" si="76"/>
        <v>1000</v>
      </c>
    </row>
    <row r="119" spans="1:21" ht="12.95" customHeight="1" x14ac:dyDescent="0.2">
      <c r="A119" s="37"/>
      <c r="B119" s="47" t="s">
        <v>42</v>
      </c>
      <c r="C119" s="66" t="s">
        <v>43</v>
      </c>
      <c r="D119" s="67"/>
      <c r="E119" s="55">
        <v>3300</v>
      </c>
      <c r="F119" s="55"/>
      <c r="G119" s="56">
        <f t="shared" si="69"/>
        <v>3300</v>
      </c>
      <c r="H119" s="55"/>
      <c r="I119" s="56">
        <f t="shared" si="70"/>
        <v>3300</v>
      </c>
      <c r="J119" s="55"/>
      <c r="K119" s="56">
        <f t="shared" si="71"/>
        <v>3300</v>
      </c>
      <c r="L119" s="55"/>
      <c r="M119" s="56">
        <f t="shared" si="72"/>
        <v>3300</v>
      </c>
      <c r="N119" s="55"/>
      <c r="O119" s="56">
        <f t="shared" si="73"/>
        <v>3300</v>
      </c>
      <c r="P119" s="55"/>
      <c r="Q119" s="56">
        <f t="shared" si="74"/>
        <v>3300</v>
      </c>
      <c r="R119" s="55"/>
      <c r="S119" s="56">
        <f t="shared" si="75"/>
        <v>3300</v>
      </c>
      <c r="T119" s="55"/>
      <c r="U119" s="56">
        <f t="shared" si="76"/>
        <v>3300</v>
      </c>
    </row>
    <row r="120" spans="1:21" ht="12.95" customHeight="1" x14ac:dyDescent="0.2">
      <c r="A120" s="37"/>
      <c r="B120" s="48" t="s">
        <v>7</v>
      </c>
      <c r="C120" s="66" t="s">
        <v>8</v>
      </c>
      <c r="D120" s="67"/>
      <c r="E120" s="55">
        <v>2975</v>
      </c>
      <c r="F120" s="55"/>
      <c r="G120" s="56">
        <f t="shared" si="69"/>
        <v>2975</v>
      </c>
      <c r="H120" s="55"/>
      <c r="I120" s="56">
        <f t="shared" si="70"/>
        <v>2975</v>
      </c>
      <c r="J120" s="55"/>
      <c r="K120" s="56">
        <f t="shared" si="71"/>
        <v>2975</v>
      </c>
      <c r="L120" s="55"/>
      <c r="M120" s="56">
        <f t="shared" si="72"/>
        <v>2975</v>
      </c>
      <c r="N120" s="55"/>
      <c r="O120" s="56">
        <f t="shared" si="73"/>
        <v>2975</v>
      </c>
      <c r="P120" s="55"/>
      <c r="Q120" s="56">
        <f t="shared" si="74"/>
        <v>2975</v>
      </c>
      <c r="R120" s="55"/>
      <c r="S120" s="56">
        <f t="shared" si="75"/>
        <v>2975</v>
      </c>
      <c r="T120" s="55"/>
      <c r="U120" s="56">
        <f t="shared" si="76"/>
        <v>2975</v>
      </c>
    </row>
    <row r="121" spans="1:21" ht="12.95" customHeight="1" x14ac:dyDescent="0.2">
      <c r="A121" s="37"/>
      <c r="B121" s="48" t="s">
        <v>17</v>
      </c>
      <c r="C121" s="66" t="s">
        <v>93</v>
      </c>
      <c r="D121" s="67"/>
      <c r="E121" s="55">
        <v>80000</v>
      </c>
      <c r="F121" s="55"/>
      <c r="G121" s="56">
        <f t="shared" si="69"/>
        <v>80000</v>
      </c>
      <c r="H121" s="55"/>
      <c r="I121" s="56">
        <f t="shared" si="70"/>
        <v>80000</v>
      </c>
      <c r="J121" s="55"/>
      <c r="K121" s="56">
        <f t="shared" si="71"/>
        <v>80000</v>
      </c>
      <c r="L121" s="55"/>
      <c r="M121" s="56">
        <f t="shared" si="72"/>
        <v>80000</v>
      </c>
      <c r="N121" s="55"/>
      <c r="O121" s="56">
        <f t="shared" si="73"/>
        <v>80000</v>
      </c>
      <c r="P121" s="55"/>
      <c r="Q121" s="56">
        <f t="shared" si="74"/>
        <v>80000</v>
      </c>
      <c r="R121" s="55"/>
      <c r="S121" s="56">
        <f t="shared" si="75"/>
        <v>80000</v>
      </c>
      <c r="T121" s="55"/>
      <c r="U121" s="56">
        <f t="shared" si="76"/>
        <v>80000</v>
      </c>
    </row>
    <row r="122" spans="1:21" ht="12.95" hidden="1" customHeight="1" x14ac:dyDescent="0.2">
      <c r="A122" s="37"/>
      <c r="B122" s="47" t="s">
        <v>17</v>
      </c>
      <c r="C122" s="66" t="s">
        <v>85</v>
      </c>
      <c r="D122" s="67"/>
      <c r="E122" s="55"/>
      <c r="F122" s="55"/>
      <c r="G122" s="56">
        <f t="shared" si="69"/>
        <v>0</v>
      </c>
      <c r="H122" s="55"/>
      <c r="I122" s="56">
        <f t="shared" si="70"/>
        <v>0</v>
      </c>
      <c r="J122" s="55"/>
      <c r="K122" s="56">
        <f t="shared" si="71"/>
        <v>0</v>
      </c>
      <c r="L122" s="55"/>
      <c r="M122" s="56">
        <f t="shared" si="72"/>
        <v>0</v>
      </c>
      <c r="N122" s="55"/>
      <c r="O122" s="56">
        <f t="shared" si="73"/>
        <v>0</v>
      </c>
      <c r="P122" s="55"/>
      <c r="Q122" s="56">
        <f t="shared" si="74"/>
        <v>0</v>
      </c>
      <c r="R122" s="55"/>
      <c r="S122" s="56">
        <f t="shared" si="75"/>
        <v>0</v>
      </c>
      <c r="T122" s="55"/>
      <c r="U122" s="56">
        <f t="shared" si="76"/>
        <v>0</v>
      </c>
    </row>
    <row r="123" spans="1:21" ht="12.95" hidden="1" customHeight="1" x14ac:dyDescent="0.2">
      <c r="A123" s="37"/>
      <c r="B123" s="47" t="s">
        <v>17</v>
      </c>
      <c r="C123" s="66" t="s">
        <v>86</v>
      </c>
      <c r="D123" s="67"/>
      <c r="E123" s="55"/>
      <c r="F123" s="55"/>
      <c r="G123" s="56">
        <f t="shared" si="69"/>
        <v>0</v>
      </c>
      <c r="H123" s="55"/>
      <c r="I123" s="56">
        <f t="shared" si="70"/>
        <v>0</v>
      </c>
      <c r="J123" s="55"/>
      <c r="K123" s="56">
        <f t="shared" si="71"/>
        <v>0</v>
      </c>
      <c r="L123" s="55"/>
      <c r="M123" s="56">
        <f t="shared" si="72"/>
        <v>0</v>
      </c>
      <c r="N123" s="55"/>
      <c r="O123" s="56">
        <f t="shared" si="73"/>
        <v>0</v>
      </c>
      <c r="P123" s="55"/>
      <c r="Q123" s="56">
        <f t="shared" si="74"/>
        <v>0</v>
      </c>
      <c r="R123" s="55"/>
      <c r="S123" s="56">
        <f t="shared" si="75"/>
        <v>0</v>
      </c>
      <c r="T123" s="55"/>
      <c r="U123" s="56">
        <f t="shared" si="76"/>
        <v>0</v>
      </c>
    </row>
    <row r="124" spans="1:21" ht="12.95" customHeight="1" x14ac:dyDescent="0.2">
      <c r="A124" s="115"/>
      <c r="B124" s="116" t="s">
        <v>89</v>
      </c>
      <c r="C124" s="117"/>
      <c r="D124" s="118">
        <v>80130</v>
      </c>
      <c r="E124" s="119">
        <f t="shared" ref="E124:K124" si="77">SUM(E125:E132)</f>
        <v>306037</v>
      </c>
      <c r="F124" s="119">
        <f t="shared" si="77"/>
        <v>0</v>
      </c>
      <c r="G124" s="119">
        <f t="shared" si="77"/>
        <v>306037</v>
      </c>
      <c r="H124" s="119">
        <f t="shared" si="77"/>
        <v>0</v>
      </c>
      <c r="I124" s="119">
        <f t="shared" si="77"/>
        <v>306037</v>
      </c>
      <c r="J124" s="119">
        <f t="shared" si="77"/>
        <v>19068</v>
      </c>
      <c r="K124" s="119">
        <f t="shared" si="77"/>
        <v>325105</v>
      </c>
      <c r="L124" s="119">
        <f t="shared" ref="L124:Q124" si="78">SUM(L125:L132)</f>
        <v>0</v>
      </c>
      <c r="M124" s="119">
        <f t="shared" si="78"/>
        <v>325105</v>
      </c>
      <c r="N124" s="119">
        <f t="shared" si="78"/>
        <v>21888</v>
      </c>
      <c r="O124" s="119">
        <f t="shared" si="78"/>
        <v>346993</v>
      </c>
      <c r="P124" s="119">
        <f t="shared" si="78"/>
        <v>176</v>
      </c>
      <c r="Q124" s="119">
        <f t="shared" si="78"/>
        <v>347169</v>
      </c>
      <c r="R124" s="119">
        <f>SUM(R125:R132)</f>
        <v>0</v>
      </c>
      <c r="S124" s="119">
        <f>SUM(S125:S132)</f>
        <v>347169</v>
      </c>
      <c r="T124" s="119">
        <f>SUM(T125:T132)</f>
        <v>7868</v>
      </c>
      <c r="U124" s="119">
        <f>SUM(U125:U132)</f>
        <v>355037</v>
      </c>
    </row>
    <row r="125" spans="1:21" ht="12.95" customHeight="1" x14ac:dyDescent="0.2">
      <c r="A125" s="41"/>
      <c r="B125" s="49" t="s">
        <v>56</v>
      </c>
      <c r="C125" s="70" t="s">
        <v>57</v>
      </c>
      <c r="D125" s="71"/>
      <c r="E125" s="59">
        <v>136969</v>
      </c>
      <c r="F125" s="59"/>
      <c r="G125" s="59">
        <f>SUM(E125:F125)</f>
        <v>136969</v>
      </c>
      <c r="H125" s="59"/>
      <c r="I125" s="59">
        <f>SUM(G125:H125)</f>
        <v>136969</v>
      </c>
      <c r="J125" s="59"/>
      <c r="K125" s="59">
        <f>SUM(I125:J125)</f>
        <v>136969</v>
      </c>
      <c r="L125" s="59"/>
      <c r="M125" s="59">
        <f>SUM(K125:L125)</f>
        <v>136969</v>
      </c>
      <c r="N125" s="59"/>
      <c r="O125" s="59">
        <f>SUM(M125:N125)</f>
        <v>136969</v>
      </c>
      <c r="P125" s="59"/>
      <c r="Q125" s="59">
        <f>SUM(O125:P125)</f>
        <v>136969</v>
      </c>
      <c r="R125" s="59"/>
      <c r="S125" s="59">
        <f>SUM(Q125:R125)</f>
        <v>136969</v>
      </c>
      <c r="T125" s="59"/>
      <c r="U125" s="59">
        <f>SUM(S125:T125)</f>
        <v>136969</v>
      </c>
    </row>
    <row r="126" spans="1:21" x14ac:dyDescent="0.2">
      <c r="A126" s="41"/>
      <c r="B126" s="49" t="s">
        <v>48</v>
      </c>
      <c r="C126" s="70" t="s">
        <v>49</v>
      </c>
      <c r="D126" s="71"/>
      <c r="E126" s="59">
        <v>81903</v>
      </c>
      <c r="F126" s="59"/>
      <c r="G126" s="59">
        <f t="shared" ref="G126:G132" si="79">SUM(E126:F126)</f>
        <v>81903</v>
      </c>
      <c r="H126" s="59"/>
      <c r="I126" s="59">
        <f t="shared" ref="I126:I132" si="80">SUM(G126:H126)</f>
        <v>81903</v>
      </c>
      <c r="J126" s="59"/>
      <c r="K126" s="59">
        <f t="shared" ref="K126:K132" si="81">SUM(I126:J126)</f>
        <v>81903</v>
      </c>
      <c r="L126" s="59"/>
      <c r="M126" s="59">
        <f t="shared" ref="M126:M132" si="82">SUM(K126:L126)</f>
        <v>81903</v>
      </c>
      <c r="N126" s="59"/>
      <c r="O126" s="59">
        <f t="shared" ref="O126:O132" si="83">SUM(M126:N126)</f>
        <v>81903</v>
      </c>
      <c r="P126" s="59"/>
      <c r="Q126" s="59">
        <f t="shared" ref="Q126:Q132" si="84">SUM(O126:P126)</f>
        <v>81903</v>
      </c>
      <c r="R126" s="59"/>
      <c r="S126" s="59">
        <f t="shared" ref="S126:S132" si="85">SUM(Q126:R126)</f>
        <v>81903</v>
      </c>
      <c r="T126" s="59"/>
      <c r="U126" s="59">
        <f t="shared" ref="U126:U132" si="86">SUM(S126:T126)</f>
        <v>81903</v>
      </c>
    </row>
    <row r="127" spans="1:21" x14ac:dyDescent="0.2">
      <c r="A127" s="41"/>
      <c r="B127" s="49" t="s">
        <v>90</v>
      </c>
      <c r="C127" s="70" t="s">
        <v>91</v>
      </c>
      <c r="D127" s="71"/>
      <c r="E127" s="59"/>
      <c r="F127" s="59"/>
      <c r="G127" s="59">
        <f t="shared" si="79"/>
        <v>0</v>
      </c>
      <c r="H127" s="59"/>
      <c r="I127" s="59">
        <f t="shared" si="80"/>
        <v>0</v>
      </c>
      <c r="J127" s="59"/>
      <c r="K127" s="59">
        <f t="shared" si="81"/>
        <v>0</v>
      </c>
      <c r="L127" s="59"/>
      <c r="M127" s="59">
        <f t="shared" si="82"/>
        <v>0</v>
      </c>
      <c r="N127" s="59">
        <v>21888</v>
      </c>
      <c r="O127" s="59">
        <f t="shared" si="83"/>
        <v>21888</v>
      </c>
      <c r="P127" s="59"/>
      <c r="Q127" s="59">
        <f t="shared" si="84"/>
        <v>21888</v>
      </c>
      <c r="R127" s="59"/>
      <c r="S127" s="59">
        <f t="shared" si="85"/>
        <v>21888</v>
      </c>
      <c r="T127" s="59"/>
      <c r="U127" s="59">
        <f t="shared" si="86"/>
        <v>21888</v>
      </c>
    </row>
    <row r="128" spans="1:21" ht="12.95" customHeight="1" x14ac:dyDescent="0.2">
      <c r="A128" s="41"/>
      <c r="B128" s="49" t="s">
        <v>42</v>
      </c>
      <c r="C128" s="70" t="s">
        <v>43</v>
      </c>
      <c r="D128" s="71"/>
      <c r="E128" s="59">
        <v>5467</v>
      </c>
      <c r="F128" s="59"/>
      <c r="G128" s="59">
        <f t="shared" si="79"/>
        <v>5467</v>
      </c>
      <c r="H128" s="59"/>
      <c r="I128" s="59">
        <f t="shared" si="80"/>
        <v>5467</v>
      </c>
      <c r="J128" s="59"/>
      <c r="K128" s="59">
        <f t="shared" si="81"/>
        <v>5467</v>
      </c>
      <c r="L128" s="59"/>
      <c r="M128" s="59">
        <f t="shared" si="82"/>
        <v>5467</v>
      </c>
      <c r="N128" s="59"/>
      <c r="O128" s="59">
        <f t="shared" si="83"/>
        <v>5467</v>
      </c>
      <c r="P128" s="59"/>
      <c r="Q128" s="59">
        <f t="shared" si="84"/>
        <v>5467</v>
      </c>
      <c r="R128" s="59"/>
      <c r="S128" s="59">
        <f t="shared" si="85"/>
        <v>5467</v>
      </c>
      <c r="T128" s="59"/>
      <c r="U128" s="59">
        <f t="shared" si="86"/>
        <v>5467</v>
      </c>
    </row>
    <row r="129" spans="1:21" ht="12.95" customHeight="1" x14ac:dyDescent="0.2">
      <c r="A129" s="41"/>
      <c r="B129" s="50" t="s">
        <v>7</v>
      </c>
      <c r="C129" s="70" t="s">
        <v>8</v>
      </c>
      <c r="D129" s="71"/>
      <c r="E129" s="59">
        <v>1782</v>
      </c>
      <c r="F129" s="59"/>
      <c r="G129" s="59">
        <f t="shared" si="79"/>
        <v>1782</v>
      </c>
      <c r="H129" s="59"/>
      <c r="I129" s="59">
        <f t="shared" si="80"/>
        <v>1782</v>
      </c>
      <c r="J129" s="59"/>
      <c r="K129" s="59">
        <f t="shared" si="81"/>
        <v>1782</v>
      </c>
      <c r="L129" s="59"/>
      <c r="M129" s="59">
        <f t="shared" si="82"/>
        <v>1782</v>
      </c>
      <c r="N129" s="59"/>
      <c r="O129" s="59">
        <f t="shared" si="83"/>
        <v>1782</v>
      </c>
      <c r="P129" s="59"/>
      <c r="Q129" s="59">
        <f t="shared" si="84"/>
        <v>1782</v>
      </c>
      <c r="R129" s="59"/>
      <c r="S129" s="59">
        <f t="shared" si="85"/>
        <v>1782</v>
      </c>
      <c r="T129" s="59"/>
      <c r="U129" s="59">
        <f t="shared" si="86"/>
        <v>1782</v>
      </c>
    </row>
    <row r="130" spans="1:21" ht="12.95" customHeight="1" x14ac:dyDescent="0.2">
      <c r="A130" s="41"/>
      <c r="B130" s="50" t="s">
        <v>92</v>
      </c>
      <c r="C130" s="70" t="s">
        <v>93</v>
      </c>
      <c r="D130" s="71"/>
      <c r="E130" s="59">
        <v>79916</v>
      </c>
      <c r="F130" s="59"/>
      <c r="G130" s="59">
        <f t="shared" si="79"/>
        <v>79916</v>
      </c>
      <c r="H130" s="59"/>
      <c r="I130" s="59">
        <f t="shared" si="80"/>
        <v>79916</v>
      </c>
      <c r="J130" s="59">
        <v>19068</v>
      </c>
      <c r="K130" s="59">
        <f t="shared" si="81"/>
        <v>98984</v>
      </c>
      <c r="L130" s="59"/>
      <c r="M130" s="59">
        <f t="shared" si="82"/>
        <v>98984</v>
      </c>
      <c r="N130" s="59"/>
      <c r="O130" s="59">
        <f t="shared" si="83"/>
        <v>98984</v>
      </c>
      <c r="P130" s="59"/>
      <c r="Q130" s="59">
        <f t="shared" si="84"/>
        <v>98984</v>
      </c>
      <c r="R130" s="59"/>
      <c r="S130" s="59">
        <f t="shared" si="85"/>
        <v>98984</v>
      </c>
      <c r="T130" s="59">
        <v>7868</v>
      </c>
      <c r="U130" s="59">
        <f t="shared" si="86"/>
        <v>106852</v>
      </c>
    </row>
    <row r="131" spans="1:21" x14ac:dyDescent="0.2">
      <c r="A131" s="41"/>
      <c r="B131" s="47" t="s">
        <v>17</v>
      </c>
      <c r="C131" s="70" t="s">
        <v>85</v>
      </c>
      <c r="D131" s="71"/>
      <c r="E131" s="59"/>
      <c r="F131" s="59"/>
      <c r="G131" s="59">
        <f t="shared" si="79"/>
        <v>0</v>
      </c>
      <c r="H131" s="59"/>
      <c r="I131" s="59">
        <f t="shared" si="80"/>
        <v>0</v>
      </c>
      <c r="J131" s="59"/>
      <c r="K131" s="59">
        <f t="shared" si="81"/>
        <v>0</v>
      </c>
      <c r="L131" s="59"/>
      <c r="M131" s="59">
        <f t="shared" si="82"/>
        <v>0</v>
      </c>
      <c r="N131" s="59"/>
      <c r="O131" s="59">
        <f t="shared" si="83"/>
        <v>0</v>
      </c>
      <c r="P131" s="59"/>
      <c r="Q131" s="59">
        <f t="shared" si="84"/>
        <v>0</v>
      </c>
      <c r="R131" s="59"/>
      <c r="S131" s="59">
        <f t="shared" si="85"/>
        <v>0</v>
      </c>
      <c r="T131" s="59"/>
      <c r="U131" s="59">
        <f t="shared" si="86"/>
        <v>0</v>
      </c>
    </row>
    <row r="132" spans="1:21" x14ac:dyDescent="0.2">
      <c r="A132" s="41"/>
      <c r="B132" s="47" t="s">
        <v>94</v>
      </c>
      <c r="C132" s="70" t="s">
        <v>95</v>
      </c>
      <c r="D132" s="71"/>
      <c r="E132" s="59"/>
      <c r="F132" s="59"/>
      <c r="G132" s="59">
        <f t="shared" si="79"/>
        <v>0</v>
      </c>
      <c r="H132" s="59"/>
      <c r="I132" s="59">
        <f t="shared" si="80"/>
        <v>0</v>
      </c>
      <c r="J132" s="59"/>
      <c r="K132" s="59">
        <f t="shared" si="81"/>
        <v>0</v>
      </c>
      <c r="L132" s="59"/>
      <c r="M132" s="59">
        <f t="shared" si="82"/>
        <v>0</v>
      </c>
      <c r="N132" s="59"/>
      <c r="O132" s="59">
        <f t="shared" si="83"/>
        <v>0</v>
      </c>
      <c r="P132" s="59">
        <v>176</v>
      </c>
      <c r="Q132" s="59">
        <f t="shared" si="84"/>
        <v>176</v>
      </c>
      <c r="R132" s="59"/>
      <c r="S132" s="59">
        <f t="shared" si="85"/>
        <v>176</v>
      </c>
      <c r="T132" s="59"/>
      <c r="U132" s="59">
        <f t="shared" si="86"/>
        <v>176</v>
      </c>
    </row>
    <row r="133" spans="1:21" ht="12.95" customHeight="1" x14ac:dyDescent="0.2">
      <c r="A133" s="115"/>
      <c r="B133" s="116" t="s">
        <v>221</v>
      </c>
      <c r="C133" s="117"/>
      <c r="D133" s="118">
        <v>80144</v>
      </c>
      <c r="E133" s="120">
        <f t="shared" ref="E133:K133" si="87">SUM(E134:E135)</f>
        <v>230445</v>
      </c>
      <c r="F133" s="120">
        <f t="shared" si="87"/>
        <v>0</v>
      </c>
      <c r="G133" s="120">
        <f t="shared" si="87"/>
        <v>230445</v>
      </c>
      <c r="H133" s="120">
        <f t="shared" si="87"/>
        <v>0</v>
      </c>
      <c r="I133" s="120">
        <f t="shared" si="87"/>
        <v>230445</v>
      </c>
      <c r="J133" s="120">
        <f t="shared" si="87"/>
        <v>0</v>
      </c>
      <c r="K133" s="120">
        <f t="shared" si="87"/>
        <v>230445</v>
      </c>
      <c r="L133" s="120">
        <f t="shared" ref="L133:Q133" si="88">SUM(L134:L135)</f>
        <v>0</v>
      </c>
      <c r="M133" s="120">
        <f t="shared" si="88"/>
        <v>230445</v>
      </c>
      <c r="N133" s="120">
        <f t="shared" si="88"/>
        <v>0</v>
      </c>
      <c r="O133" s="120">
        <f t="shared" si="88"/>
        <v>230445</v>
      </c>
      <c r="P133" s="120">
        <f t="shared" si="88"/>
        <v>4600</v>
      </c>
      <c r="Q133" s="120">
        <f t="shared" si="88"/>
        <v>235045</v>
      </c>
      <c r="R133" s="120">
        <f>SUM(R134:R135)</f>
        <v>0</v>
      </c>
      <c r="S133" s="120">
        <f>SUM(S134:S135)</f>
        <v>235045</v>
      </c>
      <c r="T133" s="120">
        <f>SUM(T134:T135)</f>
        <v>0</v>
      </c>
      <c r="U133" s="120">
        <f>SUM(U134:U135)</f>
        <v>235045</v>
      </c>
    </row>
    <row r="134" spans="1:21" ht="12.95" customHeight="1" x14ac:dyDescent="0.2">
      <c r="A134" s="41"/>
      <c r="B134" s="49" t="s">
        <v>96</v>
      </c>
      <c r="C134" s="70" t="s">
        <v>97</v>
      </c>
      <c r="D134" s="71"/>
      <c r="E134" s="59">
        <v>78303</v>
      </c>
      <c r="F134" s="59"/>
      <c r="G134" s="59">
        <f>SUM(E134:F134)</f>
        <v>78303</v>
      </c>
      <c r="H134" s="59"/>
      <c r="I134" s="59">
        <f>SUM(G134:H134)</f>
        <v>78303</v>
      </c>
      <c r="J134" s="59"/>
      <c r="K134" s="59">
        <f>SUM(I134:J134)</f>
        <v>78303</v>
      </c>
      <c r="L134" s="59"/>
      <c r="M134" s="59">
        <f>SUM(K134:L134)</f>
        <v>78303</v>
      </c>
      <c r="N134" s="59"/>
      <c r="O134" s="59">
        <f>SUM(M134:N134)</f>
        <v>78303</v>
      </c>
      <c r="P134" s="59"/>
      <c r="Q134" s="59">
        <f>SUM(O134:P134)</f>
        <v>78303</v>
      </c>
      <c r="R134" s="59"/>
      <c r="S134" s="59">
        <f>SUM(Q134:R134)</f>
        <v>78303</v>
      </c>
      <c r="T134" s="59"/>
      <c r="U134" s="59">
        <f>SUM(S134:T134)</f>
        <v>78303</v>
      </c>
    </row>
    <row r="135" spans="1:21" ht="12.95" customHeight="1" x14ac:dyDescent="0.2">
      <c r="A135" s="41"/>
      <c r="B135" s="50" t="s">
        <v>7</v>
      </c>
      <c r="C135" s="70" t="s">
        <v>8</v>
      </c>
      <c r="D135" s="71"/>
      <c r="E135" s="59">
        <v>152142</v>
      </c>
      <c r="F135" s="59"/>
      <c r="G135" s="59">
        <f>SUM(E135:F135)</f>
        <v>152142</v>
      </c>
      <c r="H135" s="59"/>
      <c r="I135" s="59">
        <f>SUM(G135:H135)</f>
        <v>152142</v>
      </c>
      <c r="J135" s="59"/>
      <c r="K135" s="59">
        <f>SUM(I135:J135)</f>
        <v>152142</v>
      </c>
      <c r="L135" s="59"/>
      <c r="M135" s="59">
        <f>SUM(K135:L135)</f>
        <v>152142</v>
      </c>
      <c r="N135" s="59"/>
      <c r="O135" s="59">
        <f>SUM(M135:N135)</f>
        <v>152142</v>
      </c>
      <c r="P135" s="59">
        <v>4600</v>
      </c>
      <c r="Q135" s="59">
        <f>SUM(O135:P135)</f>
        <v>156742</v>
      </c>
      <c r="R135" s="59"/>
      <c r="S135" s="59">
        <f>SUM(Q135:R135)</f>
        <v>156742</v>
      </c>
      <c r="T135" s="59"/>
      <c r="U135" s="59">
        <f>SUM(S135:T135)</f>
        <v>156742</v>
      </c>
    </row>
    <row r="136" spans="1:21" ht="12.95" customHeight="1" x14ac:dyDescent="0.2">
      <c r="A136" s="77"/>
      <c r="B136" s="121" t="s">
        <v>98</v>
      </c>
      <c r="C136" s="117"/>
      <c r="D136" s="118">
        <v>80148</v>
      </c>
      <c r="E136" s="120">
        <f t="shared" ref="E136:U136" si="89">SUM(E137)</f>
        <v>35000</v>
      </c>
      <c r="F136" s="120">
        <f t="shared" si="89"/>
        <v>0</v>
      </c>
      <c r="G136" s="120">
        <f t="shared" si="89"/>
        <v>35000</v>
      </c>
      <c r="H136" s="120">
        <f t="shared" si="89"/>
        <v>0</v>
      </c>
      <c r="I136" s="120">
        <f t="shared" si="89"/>
        <v>35000</v>
      </c>
      <c r="J136" s="120">
        <f t="shared" si="89"/>
        <v>0</v>
      </c>
      <c r="K136" s="120">
        <f t="shared" si="89"/>
        <v>35000</v>
      </c>
      <c r="L136" s="120">
        <f t="shared" si="89"/>
        <v>0</v>
      </c>
      <c r="M136" s="120">
        <f t="shared" si="89"/>
        <v>35000</v>
      </c>
      <c r="N136" s="120">
        <f t="shared" si="89"/>
        <v>0</v>
      </c>
      <c r="O136" s="120">
        <f t="shared" si="89"/>
        <v>35000</v>
      </c>
      <c r="P136" s="120">
        <f t="shared" si="89"/>
        <v>0</v>
      </c>
      <c r="Q136" s="120">
        <f t="shared" si="89"/>
        <v>35000</v>
      </c>
      <c r="R136" s="120">
        <f t="shared" si="89"/>
        <v>0</v>
      </c>
      <c r="S136" s="120">
        <f t="shared" si="89"/>
        <v>35000</v>
      </c>
      <c r="T136" s="120">
        <f t="shared" si="89"/>
        <v>0</v>
      </c>
      <c r="U136" s="120">
        <f t="shared" si="89"/>
        <v>35000</v>
      </c>
    </row>
    <row r="137" spans="1:21" ht="12.95" customHeight="1" x14ac:dyDescent="0.2">
      <c r="A137" s="37"/>
      <c r="B137" s="49" t="s">
        <v>48</v>
      </c>
      <c r="C137" s="70" t="s">
        <v>49</v>
      </c>
      <c r="D137" s="71"/>
      <c r="E137" s="59">
        <v>35000</v>
      </c>
      <c r="F137" s="59"/>
      <c r="G137" s="59">
        <f>SUM(E137:F137)</f>
        <v>35000</v>
      </c>
      <c r="H137" s="59"/>
      <c r="I137" s="59">
        <f>SUM(G137:H137)</f>
        <v>35000</v>
      </c>
      <c r="J137" s="59"/>
      <c r="K137" s="59">
        <f>SUM(I137:J137)</f>
        <v>35000</v>
      </c>
      <c r="L137" s="59"/>
      <c r="M137" s="59">
        <f>SUM(K137:L137)</f>
        <v>35000</v>
      </c>
      <c r="N137" s="59"/>
      <c r="O137" s="59">
        <f>SUM(M137:N137)</f>
        <v>35000</v>
      </c>
      <c r="P137" s="59"/>
      <c r="Q137" s="59">
        <f>SUM(O137:P137)</f>
        <v>35000</v>
      </c>
      <c r="R137" s="59"/>
      <c r="S137" s="59">
        <f>SUM(Q137:R137)</f>
        <v>35000</v>
      </c>
      <c r="T137" s="59"/>
      <c r="U137" s="59">
        <f>SUM(S137:T137)</f>
        <v>35000</v>
      </c>
    </row>
    <row r="138" spans="1:21" ht="12.95" customHeight="1" x14ac:dyDescent="0.2">
      <c r="A138" s="77"/>
      <c r="B138" s="116" t="s">
        <v>47</v>
      </c>
      <c r="C138" s="117"/>
      <c r="D138" s="118">
        <v>80195</v>
      </c>
      <c r="E138" s="120">
        <f t="shared" ref="E138:K138" si="90">SUM(E139:E142)</f>
        <v>2713760</v>
      </c>
      <c r="F138" s="120">
        <f t="shared" si="90"/>
        <v>0</v>
      </c>
      <c r="G138" s="120">
        <f t="shared" si="90"/>
        <v>2713760</v>
      </c>
      <c r="H138" s="120">
        <f t="shared" si="90"/>
        <v>332121</v>
      </c>
      <c r="I138" s="120">
        <f t="shared" si="90"/>
        <v>3045881</v>
      </c>
      <c r="J138" s="120">
        <f t="shared" si="90"/>
        <v>264746</v>
      </c>
      <c r="K138" s="120">
        <f t="shared" si="90"/>
        <v>3310627</v>
      </c>
      <c r="L138" s="120">
        <f t="shared" ref="L138:Q138" si="91">SUM(L139:L142)</f>
        <v>0</v>
      </c>
      <c r="M138" s="120">
        <f t="shared" si="91"/>
        <v>3310627</v>
      </c>
      <c r="N138" s="120">
        <f t="shared" si="91"/>
        <v>1336942</v>
      </c>
      <c r="O138" s="120">
        <f t="shared" si="91"/>
        <v>4647569</v>
      </c>
      <c r="P138" s="120">
        <f t="shared" si="91"/>
        <v>-724267</v>
      </c>
      <c r="Q138" s="120">
        <f t="shared" si="91"/>
        <v>3923302</v>
      </c>
      <c r="R138" s="120">
        <f>SUM(R139:R142)</f>
        <v>0</v>
      </c>
      <c r="S138" s="120">
        <f>SUM(S139:S143)</f>
        <v>3923302</v>
      </c>
      <c r="T138" s="120">
        <f>SUM(T139:T143)</f>
        <v>-114000</v>
      </c>
      <c r="U138" s="120">
        <f>SUM(U139:U143)</f>
        <v>3809302</v>
      </c>
    </row>
    <row r="139" spans="1:21" x14ac:dyDescent="0.2">
      <c r="A139" s="37"/>
      <c r="B139" s="49" t="s">
        <v>99</v>
      </c>
      <c r="C139" s="70" t="s">
        <v>100</v>
      </c>
      <c r="D139" s="71"/>
      <c r="E139" s="60"/>
      <c r="F139" s="60"/>
      <c r="G139" s="59">
        <f>SUM(E139:F139)</f>
        <v>0</v>
      </c>
      <c r="H139" s="60"/>
      <c r="I139" s="59">
        <f>SUM(G139:H139)</f>
        <v>0</v>
      </c>
      <c r="J139" s="60"/>
      <c r="K139" s="59">
        <f>SUM(I139:J139)</f>
        <v>0</v>
      </c>
      <c r="L139" s="60"/>
      <c r="M139" s="59">
        <f>SUM(K139:L139)</f>
        <v>0</v>
      </c>
      <c r="N139" s="60"/>
      <c r="O139" s="59">
        <f>SUM(M139:N139)</f>
        <v>0</v>
      </c>
      <c r="P139" s="60"/>
      <c r="Q139" s="59">
        <f>SUM(O139:P139)</f>
        <v>0</v>
      </c>
      <c r="R139" s="60"/>
      <c r="S139" s="59">
        <f>SUM(Q139:R139)</f>
        <v>0</v>
      </c>
      <c r="T139" s="60"/>
      <c r="U139" s="59">
        <f>SUM(S139:T139)</f>
        <v>0</v>
      </c>
    </row>
    <row r="140" spans="1:21" x14ac:dyDescent="0.2">
      <c r="A140" s="37"/>
      <c r="B140" s="49" t="s">
        <v>7</v>
      </c>
      <c r="C140" s="70" t="s">
        <v>8</v>
      </c>
      <c r="D140" s="71"/>
      <c r="E140" s="60"/>
      <c r="F140" s="60"/>
      <c r="G140" s="59">
        <f>SUM(E140:F140)</f>
        <v>0</v>
      </c>
      <c r="H140" s="60"/>
      <c r="I140" s="59">
        <f>SUM(G140:H140)</f>
        <v>0</v>
      </c>
      <c r="J140" s="60"/>
      <c r="K140" s="59">
        <f>SUM(I140:J140)</f>
        <v>0</v>
      </c>
      <c r="L140" s="60"/>
      <c r="M140" s="59">
        <f>SUM(K140:L140)</f>
        <v>0</v>
      </c>
      <c r="N140" s="60"/>
      <c r="O140" s="59">
        <f>SUM(M140:N140)</f>
        <v>0</v>
      </c>
      <c r="P140" s="59">
        <v>1383</v>
      </c>
      <c r="Q140" s="59">
        <f>SUM(O140:P140)</f>
        <v>1383</v>
      </c>
      <c r="R140" s="59"/>
      <c r="S140" s="59">
        <f>SUM(Q140:R140)</f>
        <v>1383</v>
      </c>
      <c r="T140" s="59"/>
      <c r="U140" s="59">
        <f>SUM(S140:T140)</f>
        <v>1383</v>
      </c>
    </row>
    <row r="141" spans="1:21" ht="12.95" customHeight="1" x14ac:dyDescent="0.2">
      <c r="A141" s="37"/>
      <c r="B141" s="49" t="s">
        <v>268</v>
      </c>
      <c r="C141" s="70" t="s">
        <v>18</v>
      </c>
      <c r="D141" s="71"/>
      <c r="E141" s="59">
        <v>1719151</v>
      </c>
      <c r="F141" s="59"/>
      <c r="G141" s="59">
        <f>SUM(E141:F141)</f>
        <v>1719151</v>
      </c>
      <c r="H141" s="59">
        <v>332121</v>
      </c>
      <c r="I141" s="59">
        <f>SUM(G141:H141)</f>
        <v>2051272</v>
      </c>
      <c r="J141" s="59">
        <v>264746</v>
      </c>
      <c r="K141" s="59">
        <f>SUM(I141:J141)</f>
        <v>2316018</v>
      </c>
      <c r="L141" s="59"/>
      <c r="M141" s="59">
        <f>SUM(K141:L141)</f>
        <v>2316018</v>
      </c>
      <c r="N141" s="59">
        <v>1336942</v>
      </c>
      <c r="O141" s="59">
        <f>SUM(M141:N141)</f>
        <v>3652960</v>
      </c>
      <c r="P141" s="59">
        <f>157666-292417</f>
        <v>-134751</v>
      </c>
      <c r="Q141" s="59">
        <f>SUM(O141:P141)</f>
        <v>3518209</v>
      </c>
      <c r="R141" s="59"/>
      <c r="S141" s="59">
        <f>SUM(Q141:R141)</f>
        <v>3518209</v>
      </c>
      <c r="T141" s="59">
        <v>-114000</v>
      </c>
      <c r="U141" s="59">
        <f>SUM(S141:T141)</f>
        <v>3404209</v>
      </c>
    </row>
    <row r="142" spans="1:21" ht="12.95" customHeight="1" x14ac:dyDescent="0.2">
      <c r="A142" s="37"/>
      <c r="B142" s="50" t="s">
        <v>101</v>
      </c>
      <c r="C142" s="70" t="s">
        <v>102</v>
      </c>
      <c r="D142" s="71"/>
      <c r="E142" s="59">
        <v>994609</v>
      </c>
      <c r="F142" s="59"/>
      <c r="G142" s="59">
        <f>SUM(E142:F142)</f>
        <v>994609</v>
      </c>
      <c r="H142" s="59"/>
      <c r="I142" s="59">
        <f>SUM(G142:H142)</f>
        <v>994609</v>
      </c>
      <c r="J142" s="59"/>
      <c r="K142" s="59">
        <f>SUM(I142:J142)</f>
        <v>994609</v>
      </c>
      <c r="L142" s="59"/>
      <c r="M142" s="59">
        <f>SUM(K142:L142)</f>
        <v>994609</v>
      </c>
      <c r="N142" s="59"/>
      <c r="O142" s="59">
        <f>SUM(M142:N142)</f>
        <v>994609</v>
      </c>
      <c r="P142" s="59">
        <v>-590899</v>
      </c>
      <c r="Q142" s="59">
        <f>SUM(O142:P142)</f>
        <v>403710</v>
      </c>
      <c r="R142" s="59"/>
      <c r="S142" s="59">
        <f>SUM(Q142:R142)</f>
        <v>403710</v>
      </c>
      <c r="T142" s="59">
        <v>-403710</v>
      </c>
      <c r="U142" s="59">
        <f>SUM(S142:T142)</f>
        <v>0</v>
      </c>
    </row>
    <row r="143" spans="1:21" ht="12.95" customHeight="1" x14ac:dyDescent="0.2">
      <c r="A143" s="37"/>
      <c r="B143" s="50" t="s">
        <v>101</v>
      </c>
      <c r="C143" s="70" t="s">
        <v>288</v>
      </c>
      <c r="D143" s="71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>
        <v>403710</v>
      </c>
      <c r="U143" s="59">
        <f>SUM(S143:T143)</f>
        <v>403710</v>
      </c>
    </row>
    <row r="144" spans="1:21" x14ac:dyDescent="0.2">
      <c r="A144" s="90">
        <v>851</v>
      </c>
      <c r="B144" s="88" t="s">
        <v>103</v>
      </c>
      <c r="C144" s="91"/>
      <c r="D144" s="92"/>
      <c r="E144" s="89">
        <f t="shared" ref="E144:K144" si="92">SUM(E145+E148)</f>
        <v>1873900</v>
      </c>
      <c r="F144" s="89">
        <f t="shared" si="92"/>
        <v>0</v>
      </c>
      <c r="G144" s="89">
        <f t="shared" si="92"/>
        <v>1873900</v>
      </c>
      <c r="H144" s="89">
        <f t="shared" si="92"/>
        <v>155000</v>
      </c>
      <c r="I144" s="89">
        <f t="shared" si="92"/>
        <v>2028900</v>
      </c>
      <c r="J144" s="89">
        <f t="shared" si="92"/>
        <v>0</v>
      </c>
      <c r="K144" s="89">
        <f t="shared" si="92"/>
        <v>2028900</v>
      </c>
      <c r="L144" s="89">
        <f t="shared" ref="L144:Q144" si="93">SUM(L145+L148)</f>
        <v>-31700</v>
      </c>
      <c r="M144" s="89">
        <f t="shared" si="93"/>
        <v>1997200</v>
      </c>
      <c r="N144" s="89">
        <f t="shared" si="93"/>
        <v>0</v>
      </c>
      <c r="O144" s="89">
        <f t="shared" si="93"/>
        <v>1997200</v>
      </c>
      <c r="P144" s="89">
        <f t="shared" si="93"/>
        <v>430</v>
      </c>
      <c r="Q144" s="89">
        <f t="shared" si="93"/>
        <v>1997630</v>
      </c>
      <c r="R144" s="89">
        <f>SUM(R145+R148)</f>
        <v>0</v>
      </c>
      <c r="S144" s="89">
        <f>SUM(S145+S148)</f>
        <v>1997630</v>
      </c>
      <c r="T144" s="89">
        <f>SUM(T145+T148)</f>
        <v>0</v>
      </c>
      <c r="U144" s="89">
        <f>SUM(U145+U148)</f>
        <v>1997630</v>
      </c>
    </row>
    <row r="145" spans="1:21" x14ac:dyDescent="0.2">
      <c r="A145" s="77"/>
      <c r="B145" s="110" t="s">
        <v>104</v>
      </c>
      <c r="C145" s="107"/>
      <c r="D145" s="109">
        <v>85111</v>
      </c>
      <c r="E145" s="111">
        <f t="shared" ref="E145:N145" si="94">SUM(E147)</f>
        <v>0</v>
      </c>
      <c r="F145" s="111">
        <f t="shared" si="94"/>
        <v>0</v>
      </c>
      <c r="G145" s="111">
        <f t="shared" si="94"/>
        <v>0</v>
      </c>
      <c r="H145" s="111">
        <f t="shared" si="94"/>
        <v>155000</v>
      </c>
      <c r="I145" s="111">
        <f t="shared" si="94"/>
        <v>155000</v>
      </c>
      <c r="J145" s="111">
        <f t="shared" si="94"/>
        <v>0</v>
      </c>
      <c r="K145" s="111">
        <f t="shared" si="94"/>
        <v>155000</v>
      </c>
      <c r="L145" s="111">
        <f t="shared" si="94"/>
        <v>0</v>
      </c>
      <c r="M145" s="111">
        <f t="shared" si="94"/>
        <v>155000</v>
      </c>
      <c r="N145" s="111">
        <f t="shared" si="94"/>
        <v>0</v>
      </c>
      <c r="O145" s="111">
        <f t="shared" ref="O145:U145" si="95">SUM(O146:O147)</f>
        <v>155000</v>
      </c>
      <c r="P145" s="111">
        <f t="shared" si="95"/>
        <v>430</v>
      </c>
      <c r="Q145" s="111">
        <f t="shared" si="95"/>
        <v>155430</v>
      </c>
      <c r="R145" s="111">
        <f t="shared" si="95"/>
        <v>0</v>
      </c>
      <c r="S145" s="111">
        <f t="shared" si="95"/>
        <v>155430</v>
      </c>
      <c r="T145" s="111">
        <f t="shared" si="95"/>
        <v>0</v>
      </c>
      <c r="U145" s="111">
        <f t="shared" si="95"/>
        <v>155430</v>
      </c>
    </row>
    <row r="146" spans="1:21" x14ac:dyDescent="0.2">
      <c r="A146" s="134"/>
      <c r="B146" s="137" t="s">
        <v>7</v>
      </c>
      <c r="C146" s="138" t="s">
        <v>8</v>
      </c>
      <c r="D146" s="135"/>
      <c r="E146" s="136"/>
      <c r="F146" s="136"/>
      <c r="G146" s="136"/>
      <c r="H146" s="136"/>
      <c r="I146" s="136"/>
      <c r="J146" s="136"/>
      <c r="K146" s="136"/>
      <c r="L146" s="136"/>
      <c r="M146" s="136"/>
      <c r="N146" s="136"/>
      <c r="O146" s="139"/>
      <c r="P146" s="139">
        <v>430</v>
      </c>
      <c r="Q146" s="139">
        <f>SUM(O146:P146)</f>
        <v>430</v>
      </c>
      <c r="R146" s="139"/>
      <c r="S146" s="139">
        <f>SUM(Q146:R146)</f>
        <v>430</v>
      </c>
      <c r="T146" s="139"/>
      <c r="U146" s="139">
        <f>SUM(S146:T146)</f>
        <v>430</v>
      </c>
    </row>
    <row r="147" spans="1:21" x14ac:dyDescent="0.2">
      <c r="A147" s="42"/>
      <c r="B147" s="50" t="s">
        <v>274</v>
      </c>
      <c r="C147" s="70" t="s">
        <v>20</v>
      </c>
      <c r="D147" s="67"/>
      <c r="E147" s="56"/>
      <c r="F147" s="56"/>
      <c r="G147" s="56">
        <f>SUM(E147:F147)</f>
        <v>0</v>
      </c>
      <c r="H147" s="56">
        <v>155000</v>
      </c>
      <c r="I147" s="56">
        <f>SUM(G147:H147)</f>
        <v>155000</v>
      </c>
      <c r="J147" s="56"/>
      <c r="K147" s="56">
        <f>SUM(I147:J147)</f>
        <v>155000</v>
      </c>
      <c r="L147" s="56"/>
      <c r="M147" s="56">
        <f>SUM(K147:L147)</f>
        <v>155000</v>
      </c>
      <c r="N147" s="56"/>
      <c r="O147" s="56">
        <f>SUM(M147:N147)</f>
        <v>155000</v>
      </c>
      <c r="P147" s="56"/>
      <c r="Q147" s="56">
        <f>SUM(O147:P147)</f>
        <v>155000</v>
      </c>
      <c r="R147" s="56"/>
      <c r="S147" s="56">
        <f>SUM(Q147:R147)</f>
        <v>155000</v>
      </c>
      <c r="T147" s="56"/>
      <c r="U147" s="56">
        <f>SUM(S147:T147)</f>
        <v>155000</v>
      </c>
    </row>
    <row r="148" spans="1:21" ht="12.95" customHeight="1" x14ac:dyDescent="0.2">
      <c r="A148" s="76"/>
      <c r="B148" s="112" t="s">
        <v>262</v>
      </c>
      <c r="C148" s="107"/>
      <c r="D148" s="109">
        <v>85156</v>
      </c>
      <c r="E148" s="113">
        <f t="shared" ref="E148:U148" si="96">SUM(E149)</f>
        <v>1873900</v>
      </c>
      <c r="F148" s="113">
        <f t="shared" si="96"/>
        <v>0</v>
      </c>
      <c r="G148" s="113">
        <f t="shared" si="96"/>
        <v>1873900</v>
      </c>
      <c r="H148" s="113">
        <f t="shared" si="96"/>
        <v>0</v>
      </c>
      <c r="I148" s="113">
        <f t="shared" si="96"/>
        <v>1873900</v>
      </c>
      <c r="J148" s="113">
        <f t="shared" si="96"/>
        <v>0</v>
      </c>
      <c r="K148" s="113">
        <f t="shared" si="96"/>
        <v>1873900</v>
      </c>
      <c r="L148" s="113">
        <f t="shared" si="96"/>
        <v>-31700</v>
      </c>
      <c r="M148" s="113">
        <f t="shared" si="96"/>
        <v>1842200</v>
      </c>
      <c r="N148" s="113">
        <f t="shared" si="96"/>
        <v>0</v>
      </c>
      <c r="O148" s="113">
        <f t="shared" si="96"/>
        <v>1842200</v>
      </c>
      <c r="P148" s="113">
        <f t="shared" si="96"/>
        <v>0</v>
      </c>
      <c r="Q148" s="113">
        <f t="shared" si="96"/>
        <v>1842200</v>
      </c>
      <c r="R148" s="113">
        <f t="shared" si="96"/>
        <v>0</v>
      </c>
      <c r="S148" s="113">
        <f t="shared" si="96"/>
        <v>1842200</v>
      </c>
      <c r="T148" s="113">
        <f t="shared" si="96"/>
        <v>0</v>
      </c>
      <c r="U148" s="113">
        <f t="shared" si="96"/>
        <v>1842200</v>
      </c>
    </row>
    <row r="149" spans="1:21" ht="12.95" customHeight="1" x14ac:dyDescent="0.2">
      <c r="A149" s="40"/>
      <c r="B149" s="47" t="s">
        <v>40</v>
      </c>
      <c r="C149" s="66" t="s">
        <v>37</v>
      </c>
      <c r="D149" s="67"/>
      <c r="E149" s="55">
        <v>1873900</v>
      </c>
      <c r="F149" s="55"/>
      <c r="G149" s="55">
        <v>1873900</v>
      </c>
      <c r="H149" s="55"/>
      <c r="I149" s="55">
        <v>1873900</v>
      </c>
      <c r="J149" s="55"/>
      <c r="K149" s="55">
        <v>1873900</v>
      </c>
      <c r="L149" s="55">
        <v>-31700</v>
      </c>
      <c r="M149" s="55">
        <f>SUM(K149:L149)</f>
        <v>1842200</v>
      </c>
      <c r="N149" s="55"/>
      <c r="O149" s="55">
        <f>SUM(M149:N149)</f>
        <v>1842200</v>
      </c>
      <c r="P149" s="55"/>
      <c r="Q149" s="55">
        <f>SUM(O149:P149)</f>
        <v>1842200</v>
      </c>
      <c r="R149" s="55"/>
      <c r="S149" s="55">
        <f>SUM(Q149:R149)</f>
        <v>1842200</v>
      </c>
      <c r="T149" s="55"/>
      <c r="U149" s="55">
        <f>SUM(S149:T149)</f>
        <v>1842200</v>
      </c>
    </row>
    <row r="150" spans="1:21" x14ac:dyDescent="0.2">
      <c r="A150" s="90">
        <v>852</v>
      </c>
      <c r="B150" s="88" t="s">
        <v>105</v>
      </c>
      <c r="C150" s="85"/>
      <c r="D150" s="86"/>
      <c r="E150" s="89">
        <f t="shared" ref="E150:K150" si="97">SUM(E151+E158+E164+E171+E182)</f>
        <v>5447052</v>
      </c>
      <c r="F150" s="89">
        <f t="shared" si="97"/>
        <v>0</v>
      </c>
      <c r="G150" s="89">
        <f t="shared" si="97"/>
        <v>5447052</v>
      </c>
      <c r="H150" s="89">
        <f t="shared" si="97"/>
        <v>0</v>
      </c>
      <c r="I150" s="89">
        <f t="shared" si="97"/>
        <v>5447052</v>
      </c>
      <c r="J150" s="89">
        <f t="shared" si="97"/>
        <v>705844</v>
      </c>
      <c r="K150" s="89">
        <f t="shared" si="97"/>
        <v>6152896</v>
      </c>
      <c r="L150" s="89">
        <f t="shared" ref="L150:Q150" si="98">SUM(L151+L158+L164+L171+L182)</f>
        <v>45436</v>
      </c>
      <c r="M150" s="89">
        <f t="shared" si="98"/>
        <v>6198332</v>
      </c>
      <c r="N150" s="89">
        <f t="shared" si="98"/>
        <v>109647</v>
      </c>
      <c r="O150" s="89">
        <f t="shared" si="98"/>
        <v>6307979</v>
      </c>
      <c r="P150" s="89">
        <f t="shared" si="98"/>
        <v>115622</v>
      </c>
      <c r="Q150" s="89">
        <f t="shared" si="98"/>
        <v>6423601</v>
      </c>
      <c r="R150" s="89">
        <f>SUM(R151+R158+R164+R171+R182)</f>
        <v>0</v>
      </c>
      <c r="S150" s="89">
        <f>SUM(S151+S158+S164+S171+S182)</f>
        <v>6423601</v>
      </c>
      <c r="T150" s="89">
        <f>SUM(T151+T158+T164+T171+T182)</f>
        <v>64297</v>
      </c>
      <c r="U150" s="89">
        <f>SUM(U151+U158+U164+U171+U182)</f>
        <v>6487898</v>
      </c>
    </row>
    <row r="151" spans="1:21" x14ac:dyDescent="0.2">
      <c r="A151" s="75"/>
      <c r="B151" s="110" t="s">
        <v>106</v>
      </c>
      <c r="C151" s="107"/>
      <c r="D151" s="109">
        <v>85201</v>
      </c>
      <c r="E151" s="111">
        <f t="shared" ref="E151:K151" si="99">SUM(E153:E157)</f>
        <v>0</v>
      </c>
      <c r="F151" s="111">
        <f t="shared" si="99"/>
        <v>0</v>
      </c>
      <c r="G151" s="111">
        <f t="shared" si="99"/>
        <v>0</v>
      </c>
      <c r="H151" s="111">
        <f t="shared" si="99"/>
        <v>0</v>
      </c>
      <c r="I151" s="111">
        <f t="shared" si="99"/>
        <v>0</v>
      </c>
      <c r="J151" s="111">
        <f t="shared" si="99"/>
        <v>3000</v>
      </c>
      <c r="K151" s="111">
        <f t="shared" si="99"/>
        <v>3000</v>
      </c>
      <c r="L151" s="111">
        <f t="shared" ref="L151:Q151" si="100">SUM(L153:L157)</f>
        <v>0</v>
      </c>
      <c r="M151" s="111">
        <f t="shared" si="100"/>
        <v>3000</v>
      </c>
      <c r="N151" s="111">
        <f t="shared" si="100"/>
        <v>23736</v>
      </c>
      <c r="O151" s="111">
        <f t="shared" si="100"/>
        <v>26736</v>
      </c>
      <c r="P151" s="111">
        <f t="shared" si="100"/>
        <v>1838</v>
      </c>
      <c r="Q151" s="111">
        <f t="shared" si="100"/>
        <v>28574</v>
      </c>
      <c r="R151" s="111">
        <f>SUM(R153:R157)</f>
        <v>0</v>
      </c>
      <c r="S151" s="111">
        <f>SUM(S152:S157)</f>
        <v>28574</v>
      </c>
      <c r="T151" s="111">
        <f>SUM(T152:T157)</f>
        <v>4567</v>
      </c>
      <c r="U151" s="111">
        <f>SUM(U152:U157)</f>
        <v>33141</v>
      </c>
    </row>
    <row r="152" spans="1:21" x14ac:dyDescent="0.2">
      <c r="A152" s="140"/>
      <c r="B152" s="46" t="s">
        <v>13</v>
      </c>
      <c r="C152" s="64" t="s">
        <v>14</v>
      </c>
      <c r="D152" s="141"/>
      <c r="E152" s="142"/>
      <c r="F152" s="142"/>
      <c r="G152" s="142"/>
      <c r="H152" s="142"/>
      <c r="I152" s="142"/>
      <c r="J152" s="142"/>
      <c r="K152" s="142"/>
      <c r="L152" s="142"/>
      <c r="M152" s="142"/>
      <c r="N152" s="142"/>
      <c r="O152" s="142"/>
      <c r="P152" s="142"/>
      <c r="Q152" s="142"/>
      <c r="R152" s="142"/>
      <c r="S152" s="142"/>
      <c r="T152" s="132">
        <v>4567</v>
      </c>
      <c r="U152" s="56">
        <f t="shared" ref="U152:U157" si="101">SUM(S152:T152)</f>
        <v>4567</v>
      </c>
    </row>
    <row r="153" spans="1:21" x14ac:dyDescent="0.2">
      <c r="A153" s="39"/>
      <c r="B153" s="47" t="s">
        <v>42</v>
      </c>
      <c r="C153" s="66" t="s">
        <v>43</v>
      </c>
      <c r="D153" s="67"/>
      <c r="E153" s="56"/>
      <c r="F153" s="56"/>
      <c r="G153" s="56">
        <f>SUM(E153:F153)</f>
        <v>0</v>
      </c>
      <c r="H153" s="56"/>
      <c r="I153" s="56">
        <f>SUM(G153:H153)</f>
        <v>0</v>
      </c>
      <c r="J153" s="56"/>
      <c r="K153" s="56">
        <f>SUM(I153:J153)</f>
        <v>0</v>
      </c>
      <c r="L153" s="56"/>
      <c r="M153" s="56">
        <f>SUM(K153:L153)</f>
        <v>0</v>
      </c>
      <c r="N153" s="56"/>
      <c r="O153" s="56">
        <f>SUM(M153:N153)</f>
        <v>0</v>
      </c>
      <c r="P153" s="56"/>
      <c r="Q153" s="56">
        <f>SUM(O153:P153)</f>
        <v>0</v>
      </c>
      <c r="R153" s="56"/>
      <c r="S153" s="56">
        <f>SUM(Q153:R153)</f>
        <v>0</v>
      </c>
      <c r="T153" s="56"/>
      <c r="U153" s="56">
        <f t="shared" si="101"/>
        <v>0</v>
      </c>
    </row>
    <row r="154" spans="1:21" x14ac:dyDescent="0.2">
      <c r="A154" s="39"/>
      <c r="B154" s="47" t="s">
        <v>107</v>
      </c>
      <c r="C154" s="66" t="s">
        <v>8</v>
      </c>
      <c r="D154" s="67"/>
      <c r="E154" s="56"/>
      <c r="F154" s="56"/>
      <c r="G154" s="56">
        <f>SUM(E154:F154)</f>
        <v>0</v>
      </c>
      <c r="H154" s="56"/>
      <c r="I154" s="56">
        <f>SUM(G154:H154)</f>
        <v>0</v>
      </c>
      <c r="J154" s="56"/>
      <c r="K154" s="56">
        <f>SUM(I154:J154)</f>
        <v>0</v>
      </c>
      <c r="L154" s="56"/>
      <c r="M154" s="56">
        <f>SUM(K154:L154)</f>
        <v>0</v>
      </c>
      <c r="N154" s="56"/>
      <c r="O154" s="56">
        <f>SUM(M154:N154)</f>
        <v>0</v>
      </c>
      <c r="P154" s="56">
        <v>1838</v>
      </c>
      <c r="Q154" s="56">
        <f>SUM(O154:P154)</f>
        <v>1838</v>
      </c>
      <c r="R154" s="56"/>
      <c r="S154" s="56">
        <f>SUM(Q154:R154)</f>
        <v>1838</v>
      </c>
      <c r="T154" s="56"/>
      <c r="U154" s="56">
        <f t="shared" si="101"/>
        <v>1838</v>
      </c>
    </row>
    <row r="155" spans="1:21" x14ac:dyDescent="0.2">
      <c r="A155" s="39"/>
      <c r="B155" s="47" t="s">
        <v>283</v>
      </c>
      <c r="C155" s="66" t="s">
        <v>118</v>
      </c>
      <c r="D155" s="67"/>
      <c r="E155" s="56"/>
      <c r="F155" s="56"/>
      <c r="G155" s="56">
        <f>SUM(E155:F155)</f>
        <v>0</v>
      </c>
      <c r="H155" s="56"/>
      <c r="I155" s="56">
        <f>SUM(G155:H155)</f>
        <v>0</v>
      </c>
      <c r="J155" s="56"/>
      <c r="K155" s="56">
        <f>SUM(I155:J155)</f>
        <v>0</v>
      </c>
      <c r="L155" s="56"/>
      <c r="M155" s="56">
        <f>SUM(K155:L155)</f>
        <v>0</v>
      </c>
      <c r="N155" s="56">
        <v>23736</v>
      </c>
      <c r="O155" s="56">
        <f>SUM(M155:N155)</f>
        <v>23736</v>
      </c>
      <c r="P155" s="56"/>
      <c r="Q155" s="56">
        <f>SUM(O155:P155)</f>
        <v>23736</v>
      </c>
      <c r="R155" s="56"/>
      <c r="S155" s="56">
        <f>SUM(Q155:R155)</f>
        <v>23736</v>
      </c>
      <c r="T155" s="56"/>
      <c r="U155" s="56">
        <f t="shared" si="101"/>
        <v>23736</v>
      </c>
    </row>
    <row r="156" spans="1:21" x14ac:dyDescent="0.2">
      <c r="A156" s="36"/>
      <c r="B156" s="47" t="s">
        <v>17</v>
      </c>
      <c r="C156" s="66" t="s">
        <v>85</v>
      </c>
      <c r="D156" s="69"/>
      <c r="E156" s="56"/>
      <c r="F156" s="56"/>
      <c r="G156" s="56">
        <f>SUM(E156:F156)</f>
        <v>0</v>
      </c>
      <c r="H156" s="56"/>
      <c r="I156" s="56">
        <f>SUM(G156:H156)</f>
        <v>0</v>
      </c>
      <c r="J156" s="56">
        <v>2849</v>
      </c>
      <c r="K156" s="56">
        <f>SUM(I156:J156)</f>
        <v>2849</v>
      </c>
      <c r="L156" s="56"/>
      <c r="M156" s="56">
        <f>SUM(K156:L156)</f>
        <v>2849</v>
      </c>
      <c r="N156" s="56"/>
      <c r="O156" s="56">
        <f>SUM(M156:N156)</f>
        <v>2849</v>
      </c>
      <c r="P156" s="56"/>
      <c r="Q156" s="56">
        <f>SUM(O156:P156)</f>
        <v>2849</v>
      </c>
      <c r="R156" s="56"/>
      <c r="S156" s="56">
        <f>SUM(Q156:R156)</f>
        <v>2849</v>
      </c>
      <c r="T156" s="56"/>
      <c r="U156" s="56">
        <f t="shared" si="101"/>
        <v>2849</v>
      </c>
    </row>
    <row r="157" spans="1:21" x14ac:dyDescent="0.2">
      <c r="A157" s="36"/>
      <c r="B157" s="47" t="s">
        <v>17</v>
      </c>
      <c r="C157" s="66" t="s">
        <v>86</v>
      </c>
      <c r="D157" s="69"/>
      <c r="E157" s="56"/>
      <c r="F157" s="56"/>
      <c r="G157" s="56">
        <f>SUM(E157:F157)</f>
        <v>0</v>
      </c>
      <c r="H157" s="56"/>
      <c r="I157" s="56">
        <f>SUM(G157:H157)</f>
        <v>0</v>
      </c>
      <c r="J157" s="56">
        <v>151</v>
      </c>
      <c r="K157" s="56">
        <f>SUM(I157:J157)</f>
        <v>151</v>
      </c>
      <c r="L157" s="56"/>
      <c r="M157" s="56">
        <f>SUM(K157:L157)</f>
        <v>151</v>
      </c>
      <c r="N157" s="56"/>
      <c r="O157" s="56">
        <f>SUM(M157:N157)</f>
        <v>151</v>
      </c>
      <c r="P157" s="56"/>
      <c r="Q157" s="56">
        <f>SUM(O157:P157)</f>
        <v>151</v>
      </c>
      <c r="R157" s="56"/>
      <c r="S157" s="56">
        <f>SUM(Q157:R157)</f>
        <v>151</v>
      </c>
      <c r="T157" s="56"/>
      <c r="U157" s="56">
        <f t="shared" si="101"/>
        <v>151</v>
      </c>
    </row>
    <row r="158" spans="1:21" ht="12.95" customHeight="1" x14ac:dyDescent="0.2">
      <c r="A158" s="75"/>
      <c r="B158" s="102" t="s">
        <v>108</v>
      </c>
      <c r="C158" s="107"/>
      <c r="D158" s="109">
        <v>85202</v>
      </c>
      <c r="E158" s="111">
        <f t="shared" ref="E158:K158" si="102">SUM(E159:E163)</f>
        <v>5006519</v>
      </c>
      <c r="F158" s="111">
        <f t="shared" si="102"/>
        <v>0</v>
      </c>
      <c r="G158" s="111">
        <f t="shared" si="102"/>
        <v>5006519</v>
      </c>
      <c r="H158" s="111">
        <f t="shared" si="102"/>
        <v>0</v>
      </c>
      <c r="I158" s="111">
        <f t="shared" si="102"/>
        <v>5006519</v>
      </c>
      <c r="J158" s="111">
        <f t="shared" si="102"/>
        <v>0</v>
      </c>
      <c r="K158" s="111">
        <f t="shared" si="102"/>
        <v>5006519</v>
      </c>
      <c r="L158" s="111">
        <f t="shared" ref="L158:Q158" si="103">SUM(L159:L163)</f>
        <v>28722</v>
      </c>
      <c r="M158" s="111">
        <f t="shared" si="103"/>
        <v>5035241</v>
      </c>
      <c r="N158" s="111">
        <f t="shared" si="103"/>
        <v>78711</v>
      </c>
      <c r="O158" s="111">
        <f t="shared" si="103"/>
        <v>5113952</v>
      </c>
      <c r="P158" s="111">
        <f t="shared" si="103"/>
        <v>105612</v>
      </c>
      <c r="Q158" s="111">
        <f t="shared" si="103"/>
        <v>5219564</v>
      </c>
      <c r="R158" s="111">
        <f>SUM(R159:R163)</f>
        <v>0</v>
      </c>
      <c r="S158" s="111">
        <f>SUM(S159:S163)</f>
        <v>5219564</v>
      </c>
      <c r="T158" s="111">
        <f>SUM(T159:T163)</f>
        <v>50000</v>
      </c>
      <c r="U158" s="111">
        <f>SUM(U159:U163)</f>
        <v>5269564</v>
      </c>
    </row>
    <row r="159" spans="1:21" ht="12.95" customHeight="1" x14ac:dyDescent="0.2">
      <c r="A159" s="40"/>
      <c r="B159" s="47" t="s">
        <v>56</v>
      </c>
      <c r="C159" s="66" t="s">
        <v>57</v>
      </c>
      <c r="D159" s="67"/>
      <c r="E159" s="56">
        <f>600</f>
        <v>600</v>
      </c>
      <c r="F159" s="56"/>
      <c r="G159" s="56">
        <f>SUM(E159:F159)</f>
        <v>600</v>
      </c>
      <c r="H159" s="56"/>
      <c r="I159" s="56">
        <f>SUM(G159:H159)</f>
        <v>600</v>
      </c>
      <c r="J159" s="56"/>
      <c r="K159" s="56">
        <f>SUM(I159:J159)</f>
        <v>600</v>
      </c>
      <c r="L159" s="56"/>
      <c r="M159" s="56">
        <f>SUM(K159:L159)</f>
        <v>600</v>
      </c>
      <c r="N159" s="56"/>
      <c r="O159" s="56">
        <f>SUM(M159:N159)</f>
        <v>600</v>
      </c>
      <c r="P159" s="56"/>
      <c r="Q159" s="56">
        <f>SUM(O159:P159)</f>
        <v>600</v>
      </c>
      <c r="R159" s="56"/>
      <c r="S159" s="56">
        <f>SUM(Q159:R159)</f>
        <v>600</v>
      </c>
      <c r="T159" s="56"/>
      <c r="U159" s="56">
        <f>SUM(S159:T159)</f>
        <v>600</v>
      </c>
    </row>
    <row r="160" spans="1:21" ht="12.95" customHeight="1" x14ac:dyDescent="0.2">
      <c r="A160" s="40"/>
      <c r="B160" s="48" t="s">
        <v>48</v>
      </c>
      <c r="C160" s="66" t="s">
        <v>49</v>
      </c>
      <c r="D160" s="67"/>
      <c r="E160" s="55">
        <v>3249858</v>
      </c>
      <c r="F160" s="55"/>
      <c r="G160" s="56">
        <f>SUM(E160:F160)</f>
        <v>3249858</v>
      </c>
      <c r="H160" s="55"/>
      <c r="I160" s="56">
        <f>SUM(G160:H160)</f>
        <v>3249858</v>
      </c>
      <c r="J160" s="55"/>
      <c r="K160" s="56">
        <f>SUM(I160:J160)</f>
        <v>3249858</v>
      </c>
      <c r="L160" s="55"/>
      <c r="M160" s="56">
        <f>SUM(K160:L160)</f>
        <v>3249858</v>
      </c>
      <c r="N160" s="55"/>
      <c r="O160" s="56">
        <f>SUM(M160:N160)</f>
        <v>3249858</v>
      </c>
      <c r="P160" s="55">
        <v>117528</v>
      </c>
      <c r="Q160" s="56">
        <f>SUM(O160:P160)</f>
        <v>3367386</v>
      </c>
      <c r="R160" s="55"/>
      <c r="S160" s="56">
        <f>SUM(Q160:R160)</f>
        <v>3367386</v>
      </c>
      <c r="T160" s="55">
        <v>50000</v>
      </c>
      <c r="U160" s="56">
        <f>SUM(S160:T160)</f>
        <v>3417386</v>
      </c>
    </row>
    <row r="161" spans="1:21" x14ac:dyDescent="0.2">
      <c r="A161" s="40"/>
      <c r="B161" s="47" t="s">
        <v>42</v>
      </c>
      <c r="C161" s="66" t="s">
        <v>43</v>
      </c>
      <c r="D161" s="67"/>
      <c r="E161" s="55"/>
      <c r="F161" s="55"/>
      <c r="G161" s="56">
        <f>SUM(E161:F161)</f>
        <v>0</v>
      </c>
      <c r="H161" s="55"/>
      <c r="I161" s="56">
        <f>SUM(G161:H161)</f>
        <v>0</v>
      </c>
      <c r="J161" s="55"/>
      <c r="K161" s="56">
        <f>SUM(I161:J161)</f>
        <v>0</v>
      </c>
      <c r="L161" s="55"/>
      <c r="M161" s="56">
        <f>SUM(K161:L161)</f>
        <v>0</v>
      </c>
      <c r="N161" s="55">
        <v>2800</v>
      </c>
      <c r="O161" s="56">
        <f>SUM(M161:N161)</f>
        <v>2800</v>
      </c>
      <c r="P161" s="55"/>
      <c r="Q161" s="56">
        <f>SUM(O161:P161)</f>
        <v>2800</v>
      </c>
      <c r="R161" s="55"/>
      <c r="S161" s="56">
        <f>SUM(Q161:R161)</f>
        <v>2800</v>
      </c>
      <c r="T161" s="55"/>
      <c r="U161" s="56">
        <f>SUM(S161:T161)</f>
        <v>2800</v>
      </c>
    </row>
    <row r="162" spans="1:21" ht="12.95" customHeight="1" x14ac:dyDescent="0.2">
      <c r="A162" s="40"/>
      <c r="B162" s="48" t="s">
        <v>7</v>
      </c>
      <c r="C162" s="66" t="s">
        <v>8</v>
      </c>
      <c r="D162" s="67"/>
      <c r="E162" s="55">
        <f>17016</f>
        <v>17016</v>
      </c>
      <c r="F162" s="55"/>
      <c r="G162" s="56">
        <f>SUM(E162:F162)</f>
        <v>17016</v>
      </c>
      <c r="H162" s="55"/>
      <c r="I162" s="56">
        <f>SUM(G162:H162)</f>
        <v>17016</v>
      </c>
      <c r="J162" s="55"/>
      <c r="K162" s="56">
        <f>SUM(I162:J162)</f>
        <v>17016</v>
      </c>
      <c r="L162" s="55"/>
      <c r="M162" s="56">
        <f>SUM(K162:L162)</f>
        <v>17016</v>
      </c>
      <c r="N162" s="55">
        <v>-2800</v>
      </c>
      <c r="O162" s="56">
        <f>SUM(M162:N162)</f>
        <v>14216</v>
      </c>
      <c r="P162" s="55">
        <v>-11916</v>
      </c>
      <c r="Q162" s="56">
        <f>SUM(O162:P162)</f>
        <v>2300</v>
      </c>
      <c r="R162" s="55"/>
      <c r="S162" s="56">
        <f>SUM(Q162:R162)</f>
        <v>2300</v>
      </c>
      <c r="T162" s="55"/>
      <c r="U162" s="56">
        <f>SUM(S162:T162)</f>
        <v>2300</v>
      </c>
    </row>
    <row r="163" spans="1:21" ht="12.95" customHeight="1" x14ac:dyDescent="0.2">
      <c r="A163" s="43"/>
      <c r="B163" s="47" t="s">
        <v>109</v>
      </c>
      <c r="C163" s="66" t="s">
        <v>100</v>
      </c>
      <c r="D163" s="67"/>
      <c r="E163" s="55">
        <v>1739045</v>
      </c>
      <c r="F163" s="55"/>
      <c r="G163" s="56">
        <f>SUM(E163:F163)</f>
        <v>1739045</v>
      </c>
      <c r="H163" s="55"/>
      <c r="I163" s="56">
        <f>SUM(G163:H163)</f>
        <v>1739045</v>
      </c>
      <c r="J163" s="55"/>
      <c r="K163" s="56">
        <f>SUM(I163:J163)</f>
        <v>1739045</v>
      </c>
      <c r="L163" s="55">
        <v>28722</v>
      </c>
      <c r="M163" s="56">
        <f>SUM(K163:L163)</f>
        <v>1767767</v>
      </c>
      <c r="N163" s="55">
        <f>78711</f>
        <v>78711</v>
      </c>
      <c r="O163" s="56">
        <f>SUM(M163:N163)</f>
        <v>1846478</v>
      </c>
      <c r="P163" s="55"/>
      <c r="Q163" s="56">
        <f>SUM(O163:P163)</f>
        <v>1846478</v>
      </c>
      <c r="R163" s="55"/>
      <c r="S163" s="56">
        <f>SUM(Q163:R163)</f>
        <v>1846478</v>
      </c>
      <c r="T163" s="55"/>
      <c r="U163" s="56">
        <f>SUM(S163:T163)</f>
        <v>1846478</v>
      </c>
    </row>
    <row r="164" spans="1:21" ht="12.95" customHeight="1" x14ac:dyDescent="0.2">
      <c r="A164" s="77"/>
      <c r="B164" s="110" t="s">
        <v>110</v>
      </c>
      <c r="C164" s="107"/>
      <c r="D164" s="109">
        <v>85203</v>
      </c>
      <c r="E164" s="105">
        <f t="shared" ref="E164:K164" si="104">SUM(E165:E170)</f>
        <v>302820</v>
      </c>
      <c r="F164" s="105">
        <f t="shared" si="104"/>
        <v>0</v>
      </c>
      <c r="G164" s="105">
        <f t="shared" si="104"/>
        <v>302820</v>
      </c>
      <c r="H164" s="105">
        <f t="shared" si="104"/>
        <v>0</v>
      </c>
      <c r="I164" s="105">
        <f t="shared" si="104"/>
        <v>302820</v>
      </c>
      <c r="J164" s="105">
        <f t="shared" si="104"/>
        <v>0</v>
      </c>
      <c r="K164" s="105">
        <f t="shared" si="104"/>
        <v>302820</v>
      </c>
      <c r="L164" s="105">
        <f t="shared" ref="L164:Q164" si="105">SUM(L165:L170)</f>
        <v>16714</v>
      </c>
      <c r="M164" s="105">
        <f t="shared" si="105"/>
        <v>319534</v>
      </c>
      <c r="N164" s="105">
        <f t="shared" si="105"/>
        <v>7200</v>
      </c>
      <c r="O164" s="105">
        <f t="shared" si="105"/>
        <v>326734</v>
      </c>
      <c r="P164" s="105">
        <f t="shared" si="105"/>
        <v>8000</v>
      </c>
      <c r="Q164" s="105">
        <f t="shared" si="105"/>
        <v>334734</v>
      </c>
      <c r="R164" s="105">
        <f>SUM(R165:R170)</f>
        <v>0</v>
      </c>
      <c r="S164" s="105">
        <f>SUM(S165:S170)</f>
        <v>334734</v>
      </c>
      <c r="T164" s="105">
        <f>SUM(T165:T170)</f>
        <v>0</v>
      </c>
      <c r="U164" s="105">
        <f>SUM(U165:U170)</f>
        <v>334734</v>
      </c>
    </row>
    <row r="165" spans="1:21" ht="12.95" hidden="1" customHeight="1" x14ac:dyDescent="0.2">
      <c r="A165" s="43"/>
      <c r="B165" s="47" t="s">
        <v>42</v>
      </c>
      <c r="C165" s="66" t="s">
        <v>43</v>
      </c>
      <c r="D165" s="67"/>
      <c r="E165" s="55"/>
      <c r="F165" s="55"/>
      <c r="G165" s="55">
        <f t="shared" ref="G165:G170" si="106">SUM(E165:F165)</f>
        <v>0</v>
      </c>
      <c r="H165" s="55"/>
      <c r="I165" s="55">
        <f t="shared" ref="I165:I170" si="107">SUM(G165:H165)</f>
        <v>0</v>
      </c>
      <c r="J165" s="55"/>
      <c r="K165" s="55">
        <f t="shared" ref="K165:K170" si="108">SUM(I165:J165)</f>
        <v>0</v>
      </c>
      <c r="L165" s="55"/>
      <c r="M165" s="55">
        <f t="shared" ref="M165:M170" si="109">SUM(K165:L165)</f>
        <v>0</v>
      </c>
      <c r="N165" s="55"/>
      <c r="O165" s="55">
        <f t="shared" ref="O165:O170" si="110">SUM(M165:N165)</f>
        <v>0</v>
      </c>
      <c r="P165" s="55"/>
      <c r="Q165" s="55">
        <f t="shared" ref="Q165:Q170" si="111">SUM(O165:P165)</f>
        <v>0</v>
      </c>
      <c r="R165" s="55"/>
      <c r="S165" s="55">
        <f t="shared" ref="S165:S170" si="112">SUM(Q165:R165)</f>
        <v>0</v>
      </c>
      <c r="T165" s="55"/>
      <c r="U165" s="55">
        <f t="shared" ref="U165:U170" si="113">SUM(S165:T165)</f>
        <v>0</v>
      </c>
    </row>
    <row r="166" spans="1:21" ht="12.95" hidden="1" customHeight="1" x14ac:dyDescent="0.2">
      <c r="A166" s="43"/>
      <c r="B166" s="47" t="s">
        <v>48</v>
      </c>
      <c r="C166" s="128" t="s">
        <v>49</v>
      </c>
      <c r="D166" s="67"/>
      <c r="E166" s="55"/>
      <c r="F166" s="55"/>
      <c r="G166" s="55">
        <f t="shared" si="106"/>
        <v>0</v>
      </c>
      <c r="H166" s="55"/>
      <c r="I166" s="55">
        <f t="shared" si="107"/>
        <v>0</v>
      </c>
      <c r="J166" s="55"/>
      <c r="K166" s="55">
        <f t="shared" si="108"/>
        <v>0</v>
      </c>
      <c r="L166" s="55"/>
      <c r="M166" s="55">
        <f t="shared" si="109"/>
        <v>0</v>
      </c>
      <c r="N166" s="55"/>
      <c r="O166" s="55">
        <f t="shared" si="110"/>
        <v>0</v>
      </c>
      <c r="P166" s="55"/>
      <c r="Q166" s="55">
        <f t="shared" si="111"/>
        <v>0</v>
      </c>
      <c r="R166" s="55"/>
      <c r="S166" s="55">
        <f t="shared" si="112"/>
        <v>0</v>
      </c>
      <c r="T166" s="55"/>
      <c r="U166" s="55">
        <f t="shared" si="113"/>
        <v>0</v>
      </c>
    </row>
    <row r="167" spans="1:21" ht="12.95" hidden="1" customHeight="1" x14ac:dyDescent="0.2">
      <c r="A167" s="43"/>
      <c r="B167" s="47" t="s">
        <v>7</v>
      </c>
      <c r="C167" s="66" t="s">
        <v>8</v>
      </c>
      <c r="D167" s="67"/>
      <c r="E167" s="55"/>
      <c r="F167" s="55"/>
      <c r="G167" s="55">
        <f t="shared" si="106"/>
        <v>0</v>
      </c>
      <c r="H167" s="55"/>
      <c r="I167" s="55">
        <f t="shared" si="107"/>
        <v>0</v>
      </c>
      <c r="J167" s="55"/>
      <c r="K167" s="55">
        <f t="shared" si="108"/>
        <v>0</v>
      </c>
      <c r="L167" s="55"/>
      <c r="M167" s="55">
        <f t="shared" si="109"/>
        <v>0</v>
      </c>
      <c r="N167" s="55"/>
      <c r="O167" s="55">
        <f t="shared" si="110"/>
        <v>0</v>
      </c>
      <c r="P167" s="55"/>
      <c r="Q167" s="55">
        <f t="shared" si="111"/>
        <v>0</v>
      </c>
      <c r="R167" s="55"/>
      <c r="S167" s="55">
        <f t="shared" si="112"/>
        <v>0</v>
      </c>
      <c r="T167" s="55"/>
      <c r="U167" s="55">
        <f t="shared" si="113"/>
        <v>0</v>
      </c>
    </row>
    <row r="168" spans="1:21" ht="12.95" customHeight="1" x14ac:dyDescent="0.2">
      <c r="A168" s="43"/>
      <c r="B168" s="47" t="s">
        <v>111</v>
      </c>
      <c r="C168" s="66" t="s">
        <v>35</v>
      </c>
      <c r="D168" s="67"/>
      <c r="E168" s="55">
        <v>420</v>
      </c>
      <c r="F168" s="55"/>
      <c r="G168" s="55">
        <f t="shared" si="106"/>
        <v>420</v>
      </c>
      <c r="H168" s="55"/>
      <c r="I168" s="55">
        <f t="shared" si="107"/>
        <v>420</v>
      </c>
      <c r="J168" s="55"/>
      <c r="K168" s="55">
        <f t="shared" si="108"/>
        <v>420</v>
      </c>
      <c r="L168" s="55"/>
      <c r="M168" s="55">
        <f t="shared" si="109"/>
        <v>420</v>
      </c>
      <c r="N168" s="55"/>
      <c r="O168" s="55">
        <f t="shared" si="110"/>
        <v>420</v>
      </c>
      <c r="P168" s="55"/>
      <c r="Q168" s="55">
        <f t="shared" si="111"/>
        <v>420</v>
      </c>
      <c r="R168" s="55"/>
      <c r="S168" s="55">
        <f t="shared" si="112"/>
        <v>420</v>
      </c>
      <c r="T168" s="55"/>
      <c r="U168" s="55">
        <f t="shared" si="113"/>
        <v>420</v>
      </c>
    </row>
    <row r="169" spans="1:21" ht="12.95" hidden="1" customHeight="1" x14ac:dyDescent="0.2">
      <c r="A169" s="43"/>
      <c r="B169" s="47" t="s">
        <v>99</v>
      </c>
      <c r="C169" s="66" t="s">
        <v>64</v>
      </c>
      <c r="D169" s="67"/>
      <c r="E169" s="55"/>
      <c r="F169" s="55"/>
      <c r="G169" s="55">
        <f t="shared" si="106"/>
        <v>0</v>
      </c>
      <c r="H169" s="55"/>
      <c r="I169" s="55">
        <f t="shared" si="107"/>
        <v>0</v>
      </c>
      <c r="J169" s="55"/>
      <c r="K169" s="55">
        <f t="shared" si="108"/>
        <v>0</v>
      </c>
      <c r="L169" s="55"/>
      <c r="M169" s="55">
        <f t="shared" si="109"/>
        <v>0</v>
      </c>
      <c r="N169" s="55"/>
      <c r="O169" s="55">
        <f t="shared" si="110"/>
        <v>0</v>
      </c>
      <c r="P169" s="55"/>
      <c r="Q169" s="55">
        <f t="shared" si="111"/>
        <v>0</v>
      </c>
      <c r="R169" s="55"/>
      <c r="S169" s="55">
        <f t="shared" si="112"/>
        <v>0</v>
      </c>
      <c r="T169" s="55"/>
      <c r="U169" s="55">
        <f t="shared" si="113"/>
        <v>0</v>
      </c>
    </row>
    <row r="170" spans="1:21" ht="12.95" customHeight="1" x14ac:dyDescent="0.2">
      <c r="A170" s="43"/>
      <c r="B170" s="47" t="s">
        <v>40</v>
      </c>
      <c r="C170" s="66" t="s">
        <v>37</v>
      </c>
      <c r="D170" s="67"/>
      <c r="E170" s="55">
        <v>302400</v>
      </c>
      <c r="F170" s="55"/>
      <c r="G170" s="55">
        <f t="shared" si="106"/>
        <v>302400</v>
      </c>
      <c r="H170" s="55"/>
      <c r="I170" s="55">
        <f t="shared" si="107"/>
        <v>302400</v>
      </c>
      <c r="J170" s="55"/>
      <c r="K170" s="55">
        <f t="shared" si="108"/>
        <v>302400</v>
      </c>
      <c r="L170" s="55">
        <v>16714</v>
      </c>
      <c r="M170" s="55">
        <f t="shared" si="109"/>
        <v>319114</v>
      </c>
      <c r="N170" s="55">
        <f>7200</f>
        <v>7200</v>
      </c>
      <c r="O170" s="55">
        <f t="shared" si="110"/>
        <v>326314</v>
      </c>
      <c r="P170" s="55">
        <v>8000</v>
      </c>
      <c r="Q170" s="55">
        <f t="shared" si="111"/>
        <v>334314</v>
      </c>
      <c r="R170" s="55"/>
      <c r="S170" s="55">
        <f t="shared" si="112"/>
        <v>334314</v>
      </c>
      <c r="T170" s="55"/>
      <c r="U170" s="55">
        <f t="shared" si="113"/>
        <v>334314</v>
      </c>
    </row>
    <row r="171" spans="1:21" ht="12.95" customHeight="1" x14ac:dyDescent="0.2">
      <c r="A171" s="77"/>
      <c r="B171" s="102" t="s">
        <v>112</v>
      </c>
      <c r="C171" s="107"/>
      <c r="D171" s="109">
        <v>85204</v>
      </c>
      <c r="E171" s="105">
        <f t="shared" ref="E171:K171" si="114">SUM(E172:E180)</f>
        <v>133757</v>
      </c>
      <c r="F171" s="105">
        <f t="shared" si="114"/>
        <v>0</v>
      </c>
      <c r="G171" s="105">
        <f t="shared" si="114"/>
        <v>133757</v>
      </c>
      <c r="H171" s="105">
        <f t="shared" si="114"/>
        <v>0</v>
      </c>
      <c r="I171" s="105">
        <f t="shared" si="114"/>
        <v>133757</v>
      </c>
      <c r="J171" s="105">
        <f t="shared" si="114"/>
        <v>43881</v>
      </c>
      <c r="K171" s="105">
        <f t="shared" si="114"/>
        <v>177638</v>
      </c>
      <c r="L171" s="105">
        <f>SUM(L172:L180)</f>
        <v>0</v>
      </c>
      <c r="M171" s="105">
        <f>SUM(M172:M180)</f>
        <v>177638</v>
      </c>
      <c r="N171" s="105">
        <f>SUM(N172:N180)</f>
        <v>0</v>
      </c>
      <c r="O171" s="105">
        <f>SUM(O177:O181)</f>
        <v>177638</v>
      </c>
      <c r="P171" s="105">
        <f>SUM(P177:P181)</f>
        <v>172</v>
      </c>
      <c r="Q171" s="105">
        <f>SUM(Q177:Q181)</f>
        <v>177810</v>
      </c>
      <c r="R171" s="105">
        <f>SUM(R177:R181)</f>
        <v>0</v>
      </c>
      <c r="S171" s="105">
        <f>SUM(S175:S181)</f>
        <v>177810</v>
      </c>
      <c r="T171" s="105">
        <f>SUM(T175:T181)</f>
        <v>9730</v>
      </c>
      <c r="U171" s="105">
        <f>SUM(U175:U181)</f>
        <v>187540</v>
      </c>
    </row>
    <row r="172" spans="1:21" ht="12.95" hidden="1" customHeight="1" x14ac:dyDescent="0.2">
      <c r="A172" s="43"/>
      <c r="B172" s="48" t="s">
        <v>113</v>
      </c>
      <c r="C172" s="66" t="s">
        <v>114</v>
      </c>
      <c r="D172" s="67"/>
      <c r="E172" s="55"/>
      <c r="F172" s="55"/>
      <c r="G172" s="55">
        <f>SUM(E172:F172)</f>
        <v>0</v>
      </c>
      <c r="H172" s="55"/>
      <c r="I172" s="55">
        <f>SUM(G172:H172)</f>
        <v>0</v>
      </c>
      <c r="J172" s="55"/>
      <c r="K172" s="55">
        <f>SUM(I172:J172)</f>
        <v>0</v>
      </c>
      <c r="L172" s="55"/>
      <c r="M172" s="55">
        <f>SUM(K172:L172)</f>
        <v>0</v>
      </c>
      <c r="N172" s="55"/>
      <c r="O172" s="55">
        <f>SUM(M172:N172)</f>
        <v>0</v>
      </c>
      <c r="P172" s="55"/>
      <c r="Q172" s="55">
        <f>SUM(O172:P172)</f>
        <v>0</v>
      </c>
      <c r="R172" s="55"/>
      <c r="S172" s="55">
        <f>SUM(Q172:R172)</f>
        <v>0</v>
      </c>
      <c r="T172" s="55"/>
      <c r="U172" s="55">
        <f>SUM(S172:T172)</f>
        <v>0</v>
      </c>
    </row>
    <row r="173" spans="1:21" ht="12.95" hidden="1" customHeight="1" x14ac:dyDescent="0.2">
      <c r="A173" s="43"/>
      <c r="B173" s="48" t="s">
        <v>42</v>
      </c>
      <c r="C173" s="66" t="s">
        <v>43</v>
      </c>
      <c r="D173" s="67"/>
      <c r="E173" s="55"/>
      <c r="F173" s="55"/>
      <c r="G173" s="55">
        <f t="shared" ref="G173:G180" si="115">SUM(E173:F173)</f>
        <v>0</v>
      </c>
      <c r="H173" s="55"/>
      <c r="I173" s="55">
        <f t="shared" ref="I173:I180" si="116">SUM(G173:H173)</f>
        <v>0</v>
      </c>
      <c r="J173" s="55"/>
      <c r="K173" s="55">
        <f t="shared" ref="K173:K180" si="117">SUM(I173:J173)</f>
        <v>0</v>
      </c>
      <c r="L173" s="55"/>
      <c r="M173" s="55">
        <f t="shared" ref="M173:M180" si="118">SUM(K173:L173)</f>
        <v>0</v>
      </c>
      <c r="N173" s="55"/>
      <c r="O173" s="55">
        <f t="shared" ref="O173:O180" si="119">SUM(M173:N173)</f>
        <v>0</v>
      </c>
      <c r="P173" s="55"/>
      <c r="Q173" s="55">
        <f t="shared" ref="Q173:Q180" si="120">SUM(O173:P173)</f>
        <v>0</v>
      </c>
      <c r="R173" s="55"/>
      <c r="S173" s="55">
        <f t="shared" ref="S173:S180" si="121">SUM(Q173:R173)</f>
        <v>0</v>
      </c>
      <c r="T173" s="55"/>
      <c r="U173" s="55">
        <f t="shared" ref="U173:U180" si="122">SUM(S173:T173)</f>
        <v>0</v>
      </c>
    </row>
    <row r="174" spans="1:21" ht="12.95" hidden="1" customHeight="1" x14ac:dyDescent="0.2">
      <c r="A174" s="43"/>
      <c r="B174" s="48" t="s">
        <v>94</v>
      </c>
      <c r="C174" s="66" t="s">
        <v>95</v>
      </c>
      <c r="D174" s="67"/>
      <c r="E174" s="55"/>
      <c r="F174" s="55"/>
      <c r="G174" s="55">
        <f t="shared" si="115"/>
        <v>0</v>
      </c>
      <c r="H174" s="55"/>
      <c r="I174" s="55">
        <f t="shared" si="116"/>
        <v>0</v>
      </c>
      <c r="J174" s="55"/>
      <c r="K174" s="55">
        <f t="shared" si="117"/>
        <v>0</v>
      </c>
      <c r="L174" s="55"/>
      <c r="M174" s="55">
        <f t="shared" si="118"/>
        <v>0</v>
      </c>
      <c r="N174" s="55"/>
      <c r="O174" s="55">
        <f t="shared" si="119"/>
        <v>0</v>
      </c>
      <c r="P174" s="55"/>
      <c r="Q174" s="55">
        <f t="shared" si="120"/>
        <v>0</v>
      </c>
      <c r="R174" s="55"/>
      <c r="S174" s="55">
        <f t="shared" si="121"/>
        <v>0</v>
      </c>
      <c r="T174" s="55"/>
      <c r="U174" s="55">
        <f t="shared" si="122"/>
        <v>0</v>
      </c>
    </row>
    <row r="175" spans="1:21" ht="12.95" customHeight="1" x14ac:dyDescent="0.2">
      <c r="A175" s="43"/>
      <c r="B175" s="48" t="s">
        <v>289</v>
      </c>
      <c r="C175" s="66" t="s">
        <v>114</v>
      </c>
      <c r="D175" s="67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>
        <v>2852</v>
      </c>
      <c r="U175" s="55">
        <f t="shared" si="122"/>
        <v>2852</v>
      </c>
    </row>
    <row r="176" spans="1:21" ht="12.95" customHeight="1" x14ac:dyDescent="0.2">
      <c r="A176" s="43"/>
      <c r="B176" s="46" t="s">
        <v>13</v>
      </c>
      <c r="C176" s="64" t="s">
        <v>14</v>
      </c>
      <c r="D176" s="67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>
        <v>6878</v>
      </c>
      <c r="U176" s="55">
        <f t="shared" si="122"/>
        <v>6878</v>
      </c>
    </row>
    <row r="177" spans="1:21" x14ac:dyDescent="0.2">
      <c r="A177" s="43"/>
      <c r="B177" s="48" t="s">
        <v>17</v>
      </c>
      <c r="C177" s="66" t="s">
        <v>85</v>
      </c>
      <c r="D177" s="67"/>
      <c r="E177" s="55"/>
      <c r="F177" s="55"/>
      <c r="G177" s="55">
        <f t="shared" si="115"/>
        <v>0</v>
      </c>
      <c r="H177" s="55"/>
      <c r="I177" s="55">
        <f t="shared" si="116"/>
        <v>0</v>
      </c>
      <c r="J177" s="55">
        <v>22793</v>
      </c>
      <c r="K177" s="55">
        <f t="shared" si="117"/>
        <v>22793</v>
      </c>
      <c r="L177" s="55"/>
      <c r="M177" s="55">
        <f t="shared" si="118"/>
        <v>22793</v>
      </c>
      <c r="N177" s="55"/>
      <c r="O177" s="55">
        <f t="shared" si="119"/>
        <v>22793</v>
      </c>
      <c r="P177" s="55"/>
      <c r="Q177" s="55">
        <f t="shared" si="120"/>
        <v>22793</v>
      </c>
      <c r="R177" s="55"/>
      <c r="S177" s="55">
        <f t="shared" si="121"/>
        <v>22793</v>
      </c>
      <c r="T177" s="55"/>
      <c r="U177" s="55">
        <f t="shared" si="122"/>
        <v>22793</v>
      </c>
    </row>
    <row r="178" spans="1:21" x14ac:dyDescent="0.2">
      <c r="A178" s="43"/>
      <c r="B178" s="48" t="s">
        <v>17</v>
      </c>
      <c r="C178" s="66" t="s">
        <v>86</v>
      </c>
      <c r="D178" s="67"/>
      <c r="E178" s="55"/>
      <c r="F178" s="55"/>
      <c r="G178" s="55">
        <f t="shared" si="115"/>
        <v>0</v>
      </c>
      <c r="H178" s="55"/>
      <c r="I178" s="55">
        <f t="shared" si="116"/>
        <v>0</v>
      </c>
      <c r="J178" s="55">
        <v>1207</v>
      </c>
      <c r="K178" s="55">
        <f t="shared" si="117"/>
        <v>1207</v>
      </c>
      <c r="L178" s="55"/>
      <c r="M178" s="55">
        <f t="shared" si="118"/>
        <v>1207</v>
      </c>
      <c r="N178" s="55"/>
      <c r="O178" s="55">
        <f t="shared" si="119"/>
        <v>1207</v>
      </c>
      <c r="P178" s="55"/>
      <c r="Q178" s="55">
        <f t="shared" si="120"/>
        <v>1207</v>
      </c>
      <c r="R178" s="55"/>
      <c r="S178" s="55">
        <f t="shared" si="121"/>
        <v>1207</v>
      </c>
      <c r="T178" s="55"/>
      <c r="U178" s="55">
        <f t="shared" si="122"/>
        <v>1207</v>
      </c>
    </row>
    <row r="179" spans="1:21" ht="12.95" customHeight="1" x14ac:dyDescent="0.2">
      <c r="A179" s="43"/>
      <c r="B179" s="47" t="s">
        <v>115</v>
      </c>
      <c r="C179" s="66" t="s">
        <v>116</v>
      </c>
      <c r="D179" s="67"/>
      <c r="E179" s="61">
        <v>59173</v>
      </c>
      <c r="F179" s="61"/>
      <c r="G179" s="55">
        <f t="shared" si="115"/>
        <v>59173</v>
      </c>
      <c r="H179" s="61"/>
      <c r="I179" s="55">
        <f t="shared" si="116"/>
        <v>59173</v>
      </c>
      <c r="J179" s="61"/>
      <c r="K179" s="55">
        <f t="shared" si="117"/>
        <v>59173</v>
      </c>
      <c r="L179" s="61"/>
      <c r="M179" s="55">
        <f t="shared" si="118"/>
        <v>59173</v>
      </c>
      <c r="N179" s="61"/>
      <c r="O179" s="55">
        <f t="shared" si="119"/>
        <v>59173</v>
      </c>
      <c r="P179" s="61"/>
      <c r="Q179" s="55">
        <f t="shared" si="120"/>
        <v>59173</v>
      </c>
      <c r="R179" s="61"/>
      <c r="S179" s="55">
        <f t="shared" si="121"/>
        <v>59173</v>
      </c>
      <c r="T179" s="61"/>
      <c r="U179" s="55">
        <f t="shared" si="122"/>
        <v>59173</v>
      </c>
    </row>
    <row r="180" spans="1:21" ht="12.95" customHeight="1" x14ac:dyDescent="0.2">
      <c r="A180" s="43"/>
      <c r="B180" s="47" t="s">
        <v>117</v>
      </c>
      <c r="C180" s="66" t="s">
        <v>118</v>
      </c>
      <c r="D180" s="67"/>
      <c r="E180" s="55">
        <v>74584</v>
      </c>
      <c r="F180" s="55"/>
      <c r="G180" s="55">
        <f t="shared" si="115"/>
        <v>74584</v>
      </c>
      <c r="H180" s="55"/>
      <c r="I180" s="55">
        <f t="shared" si="116"/>
        <v>74584</v>
      </c>
      <c r="J180" s="55">
        <v>19881</v>
      </c>
      <c r="K180" s="55">
        <f t="shared" si="117"/>
        <v>94465</v>
      </c>
      <c r="L180" s="55"/>
      <c r="M180" s="55">
        <f t="shared" si="118"/>
        <v>94465</v>
      </c>
      <c r="N180" s="55"/>
      <c r="O180" s="55">
        <f t="shared" si="119"/>
        <v>94465</v>
      </c>
      <c r="P180" s="55"/>
      <c r="Q180" s="55">
        <f t="shared" si="120"/>
        <v>94465</v>
      </c>
      <c r="R180" s="55"/>
      <c r="S180" s="55">
        <f t="shared" si="121"/>
        <v>94465</v>
      </c>
      <c r="T180" s="55"/>
      <c r="U180" s="55">
        <f t="shared" si="122"/>
        <v>94465</v>
      </c>
    </row>
    <row r="181" spans="1:21" ht="12.95" customHeight="1" x14ac:dyDescent="0.2">
      <c r="A181" s="43"/>
      <c r="B181" s="47" t="s">
        <v>285</v>
      </c>
      <c r="C181" s="66" t="s">
        <v>95</v>
      </c>
      <c r="D181" s="67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>
        <v>172</v>
      </c>
      <c r="Q181" s="55">
        <f>SUM(O181:P181)</f>
        <v>172</v>
      </c>
      <c r="R181" s="55"/>
      <c r="S181" s="55">
        <f>SUM(Q181:R181)</f>
        <v>172</v>
      </c>
      <c r="T181" s="55"/>
      <c r="U181" s="55">
        <f>SUM(S181:T181)</f>
        <v>172</v>
      </c>
    </row>
    <row r="182" spans="1:21" ht="12.95" customHeight="1" x14ac:dyDescent="0.2">
      <c r="A182" s="77"/>
      <c r="B182" s="110" t="s">
        <v>119</v>
      </c>
      <c r="C182" s="107"/>
      <c r="D182" s="109">
        <v>85218</v>
      </c>
      <c r="E182" s="105">
        <f>SUM(E183:E187)</f>
        <v>3956</v>
      </c>
      <c r="F182" s="105">
        <f>SUM(F183:F187)</f>
        <v>0</v>
      </c>
      <c r="G182" s="105">
        <f>SUM(G183:G187)</f>
        <v>3956</v>
      </c>
      <c r="H182" s="105">
        <f>SUM(H183:H187)</f>
        <v>0</v>
      </c>
      <c r="I182" s="105">
        <f t="shared" ref="I182:O182" si="123">SUM(I183:I189)</f>
        <v>3956</v>
      </c>
      <c r="J182" s="105">
        <f t="shared" si="123"/>
        <v>658963</v>
      </c>
      <c r="K182" s="105">
        <f t="shared" si="123"/>
        <v>662919</v>
      </c>
      <c r="L182" s="105">
        <f t="shared" si="123"/>
        <v>0</v>
      </c>
      <c r="M182" s="105">
        <f t="shared" si="123"/>
        <v>662919</v>
      </c>
      <c r="N182" s="105">
        <f t="shared" si="123"/>
        <v>0</v>
      </c>
      <c r="O182" s="105">
        <f t="shared" si="123"/>
        <v>662919</v>
      </c>
      <c r="P182" s="105">
        <f t="shared" ref="P182:U182" si="124">SUM(P183:P189)</f>
        <v>0</v>
      </c>
      <c r="Q182" s="105">
        <f t="shared" si="124"/>
        <v>662919</v>
      </c>
      <c r="R182" s="105">
        <f t="shared" si="124"/>
        <v>0</v>
      </c>
      <c r="S182" s="105">
        <f t="shared" si="124"/>
        <v>662919</v>
      </c>
      <c r="T182" s="105">
        <f t="shared" si="124"/>
        <v>0</v>
      </c>
      <c r="U182" s="105">
        <f t="shared" si="124"/>
        <v>662919</v>
      </c>
    </row>
    <row r="183" spans="1:21" x14ac:dyDescent="0.2">
      <c r="A183" s="43"/>
      <c r="B183" s="47" t="s">
        <v>17</v>
      </c>
      <c r="C183" s="66" t="s">
        <v>85</v>
      </c>
      <c r="D183" s="67"/>
      <c r="E183" s="55"/>
      <c r="F183" s="55"/>
      <c r="G183" s="55">
        <f>SUM(E183:F183)</f>
        <v>0</v>
      </c>
      <c r="H183" s="55"/>
      <c r="I183" s="55">
        <f>SUM(G183:H183)</f>
        <v>0</v>
      </c>
      <c r="J183" s="55">
        <v>502367</v>
      </c>
      <c r="K183" s="55">
        <f t="shared" ref="K183:K189" si="125">SUM(I183:J183)</f>
        <v>502367</v>
      </c>
      <c r="L183" s="55"/>
      <c r="M183" s="55">
        <f t="shared" ref="M183:M189" si="126">SUM(K183:L183)</f>
        <v>502367</v>
      </c>
      <c r="N183" s="55"/>
      <c r="O183" s="55">
        <f t="shared" ref="O183:O189" si="127">SUM(M183:N183)</f>
        <v>502367</v>
      </c>
      <c r="P183" s="55"/>
      <c r="Q183" s="55">
        <f t="shared" ref="Q183:Q189" si="128">SUM(O183:P183)</f>
        <v>502367</v>
      </c>
      <c r="R183" s="55"/>
      <c r="S183" s="55">
        <f t="shared" ref="S183:S189" si="129">SUM(Q183:R183)</f>
        <v>502367</v>
      </c>
      <c r="T183" s="55"/>
      <c r="U183" s="55">
        <f t="shared" ref="U183:U189" si="130">SUM(S183:T183)</f>
        <v>502367</v>
      </c>
    </row>
    <row r="184" spans="1:21" x14ac:dyDescent="0.2">
      <c r="A184" s="43"/>
      <c r="B184" s="47" t="s">
        <v>17</v>
      </c>
      <c r="C184" s="66" t="s">
        <v>86</v>
      </c>
      <c r="D184" s="67"/>
      <c r="E184" s="55"/>
      <c r="F184" s="55"/>
      <c r="G184" s="55">
        <f>SUM(E184:F184)</f>
        <v>0</v>
      </c>
      <c r="H184" s="55"/>
      <c r="I184" s="55">
        <f>SUM(G184:H184)</f>
        <v>0</v>
      </c>
      <c r="J184" s="55">
        <v>26596</v>
      </c>
      <c r="K184" s="55">
        <f t="shared" si="125"/>
        <v>26596</v>
      </c>
      <c r="L184" s="55"/>
      <c r="M184" s="55">
        <f t="shared" si="126"/>
        <v>26596</v>
      </c>
      <c r="N184" s="55"/>
      <c r="O184" s="55">
        <f t="shared" si="127"/>
        <v>26596</v>
      </c>
      <c r="P184" s="55"/>
      <c r="Q184" s="55">
        <f t="shared" si="128"/>
        <v>26596</v>
      </c>
      <c r="R184" s="55"/>
      <c r="S184" s="55">
        <f t="shared" si="129"/>
        <v>26596</v>
      </c>
      <c r="T184" s="55"/>
      <c r="U184" s="55">
        <f t="shared" si="130"/>
        <v>26596</v>
      </c>
    </row>
    <row r="185" spans="1:21" x14ac:dyDescent="0.2">
      <c r="A185" s="43"/>
      <c r="B185" s="47" t="s">
        <v>42</v>
      </c>
      <c r="C185" s="66" t="s">
        <v>43</v>
      </c>
      <c r="D185" s="67"/>
      <c r="E185" s="55">
        <v>1000</v>
      </c>
      <c r="F185" s="55"/>
      <c r="G185" s="55">
        <f>SUM(E185:F185)</f>
        <v>1000</v>
      </c>
      <c r="H185" s="55"/>
      <c r="I185" s="55">
        <f>SUM(G185:H185)</f>
        <v>1000</v>
      </c>
      <c r="J185" s="55"/>
      <c r="K185" s="55">
        <f t="shared" si="125"/>
        <v>1000</v>
      </c>
      <c r="L185" s="55"/>
      <c r="M185" s="55">
        <f t="shared" si="126"/>
        <v>1000</v>
      </c>
      <c r="N185" s="55"/>
      <c r="O185" s="55">
        <f t="shared" si="127"/>
        <v>1000</v>
      </c>
      <c r="P185" s="55"/>
      <c r="Q185" s="55">
        <f t="shared" si="128"/>
        <v>1000</v>
      </c>
      <c r="R185" s="55"/>
      <c r="S185" s="55">
        <f t="shared" si="129"/>
        <v>1000</v>
      </c>
      <c r="T185" s="55"/>
      <c r="U185" s="55">
        <f t="shared" si="130"/>
        <v>1000</v>
      </c>
    </row>
    <row r="186" spans="1:21" hidden="1" x14ac:dyDescent="0.2">
      <c r="A186" s="43"/>
      <c r="B186" s="47" t="s">
        <v>45</v>
      </c>
      <c r="C186" s="66" t="s">
        <v>46</v>
      </c>
      <c r="D186" s="67"/>
      <c r="E186" s="55"/>
      <c r="F186" s="55"/>
      <c r="G186" s="55">
        <f>SUM(E186:F186)</f>
        <v>0</v>
      </c>
      <c r="H186" s="55"/>
      <c r="I186" s="55">
        <f>SUM(G186:H186)</f>
        <v>0</v>
      </c>
      <c r="J186" s="55"/>
      <c r="K186" s="55">
        <f t="shared" si="125"/>
        <v>0</v>
      </c>
      <c r="L186" s="55"/>
      <c r="M186" s="55">
        <f t="shared" si="126"/>
        <v>0</v>
      </c>
      <c r="N186" s="55"/>
      <c r="O186" s="55">
        <f t="shared" si="127"/>
        <v>0</v>
      </c>
      <c r="P186" s="55"/>
      <c r="Q186" s="55">
        <f t="shared" si="128"/>
        <v>0</v>
      </c>
      <c r="R186" s="55"/>
      <c r="S186" s="55">
        <f t="shared" si="129"/>
        <v>0</v>
      </c>
      <c r="T186" s="55"/>
      <c r="U186" s="55">
        <f t="shared" si="130"/>
        <v>0</v>
      </c>
    </row>
    <row r="187" spans="1:21" ht="12.95" customHeight="1" x14ac:dyDescent="0.2">
      <c r="A187" s="43"/>
      <c r="B187" s="48" t="s">
        <v>7</v>
      </c>
      <c r="C187" s="66" t="s">
        <v>8</v>
      </c>
      <c r="D187" s="67"/>
      <c r="E187" s="55">
        <v>2956</v>
      </c>
      <c r="F187" s="55"/>
      <c r="G187" s="55">
        <f>SUM(E187:F187)</f>
        <v>2956</v>
      </c>
      <c r="H187" s="55"/>
      <c r="I187" s="55">
        <f>SUM(G187:H187)</f>
        <v>2956</v>
      </c>
      <c r="J187" s="55"/>
      <c r="K187" s="55">
        <f t="shared" si="125"/>
        <v>2956</v>
      </c>
      <c r="L187" s="55"/>
      <c r="M187" s="55">
        <f t="shared" si="126"/>
        <v>2956</v>
      </c>
      <c r="N187" s="55"/>
      <c r="O187" s="55">
        <f t="shared" si="127"/>
        <v>2956</v>
      </c>
      <c r="P187" s="55"/>
      <c r="Q187" s="55">
        <f t="shared" si="128"/>
        <v>2956</v>
      </c>
      <c r="R187" s="55"/>
      <c r="S187" s="55">
        <f t="shared" si="129"/>
        <v>2956</v>
      </c>
      <c r="T187" s="55"/>
      <c r="U187" s="55">
        <f t="shared" si="130"/>
        <v>2956</v>
      </c>
    </row>
    <row r="188" spans="1:21" ht="12.95" customHeight="1" x14ac:dyDescent="0.2">
      <c r="A188" s="43"/>
      <c r="B188" s="48" t="s">
        <v>17</v>
      </c>
      <c r="C188" s="66" t="s">
        <v>18</v>
      </c>
      <c r="D188" s="67"/>
      <c r="E188" s="55"/>
      <c r="F188" s="55"/>
      <c r="G188" s="55"/>
      <c r="H188" s="55"/>
      <c r="I188" s="55"/>
      <c r="J188" s="55">
        <v>123464</v>
      </c>
      <c r="K188" s="55">
        <f t="shared" si="125"/>
        <v>123464</v>
      </c>
      <c r="L188" s="55"/>
      <c r="M188" s="55">
        <f t="shared" si="126"/>
        <v>123464</v>
      </c>
      <c r="N188" s="55"/>
      <c r="O188" s="55">
        <f t="shared" si="127"/>
        <v>123464</v>
      </c>
      <c r="P188" s="55"/>
      <c r="Q188" s="55">
        <f t="shared" si="128"/>
        <v>123464</v>
      </c>
      <c r="R188" s="55"/>
      <c r="S188" s="55">
        <f t="shared" si="129"/>
        <v>123464</v>
      </c>
      <c r="T188" s="55"/>
      <c r="U188" s="55">
        <f t="shared" si="130"/>
        <v>123464</v>
      </c>
    </row>
    <row r="189" spans="1:21" ht="12.95" customHeight="1" x14ac:dyDescent="0.2">
      <c r="A189" s="43"/>
      <c r="B189" s="48" t="s">
        <v>17</v>
      </c>
      <c r="C189" s="66" t="s">
        <v>277</v>
      </c>
      <c r="D189" s="67"/>
      <c r="E189" s="55"/>
      <c r="F189" s="55"/>
      <c r="G189" s="55"/>
      <c r="H189" s="55"/>
      <c r="I189" s="55"/>
      <c r="J189" s="55">
        <v>6536</v>
      </c>
      <c r="K189" s="55">
        <f t="shared" si="125"/>
        <v>6536</v>
      </c>
      <c r="L189" s="55"/>
      <c r="M189" s="55">
        <f t="shared" si="126"/>
        <v>6536</v>
      </c>
      <c r="N189" s="55"/>
      <c r="O189" s="55">
        <f t="shared" si="127"/>
        <v>6536</v>
      </c>
      <c r="P189" s="55"/>
      <c r="Q189" s="55">
        <f t="shared" si="128"/>
        <v>6536</v>
      </c>
      <c r="R189" s="55"/>
      <c r="S189" s="55">
        <f t="shared" si="129"/>
        <v>6536</v>
      </c>
      <c r="T189" s="55"/>
      <c r="U189" s="55">
        <f t="shared" si="130"/>
        <v>6536</v>
      </c>
    </row>
    <row r="190" spans="1:21" ht="12.95" customHeight="1" x14ac:dyDescent="0.2">
      <c r="A190" s="90">
        <v>853</v>
      </c>
      <c r="B190" s="88" t="s">
        <v>120</v>
      </c>
      <c r="C190" s="85"/>
      <c r="D190" s="86"/>
      <c r="E190" s="87">
        <f t="shared" ref="E190:K190" si="131">SUM(E191+E194+E196+E198+E200+E205)</f>
        <v>567759</v>
      </c>
      <c r="F190" s="87">
        <f t="shared" si="131"/>
        <v>0</v>
      </c>
      <c r="G190" s="87">
        <f t="shared" si="131"/>
        <v>567759</v>
      </c>
      <c r="H190" s="87">
        <f t="shared" si="131"/>
        <v>1602</v>
      </c>
      <c r="I190" s="87">
        <f t="shared" si="131"/>
        <v>569361</v>
      </c>
      <c r="J190" s="87">
        <f t="shared" si="131"/>
        <v>159565</v>
      </c>
      <c r="K190" s="87">
        <f t="shared" si="131"/>
        <v>728926</v>
      </c>
      <c r="L190" s="87">
        <f t="shared" ref="L190:Q190" si="132">SUM(L191+L194+L196+L198+L200+L205)</f>
        <v>2370</v>
      </c>
      <c r="M190" s="87">
        <f t="shared" si="132"/>
        <v>731296</v>
      </c>
      <c r="N190" s="87">
        <f t="shared" si="132"/>
        <v>35544</v>
      </c>
      <c r="O190" s="87">
        <f t="shared" si="132"/>
        <v>766840</v>
      </c>
      <c r="P190" s="87">
        <f t="shared" si="132"/>
        <v>19533</v>
      </c>
      <c r="Q190" s="87">
        <f t="shared" si="132"/>
        <v>786373</v>
      </c>
      <c r="R190" s="87">
        <f>SUM(R191+R194+R196+R198+R200+R205)</f>
        <v>0</v>
      </c>
      <c r="S190" s="87">
        <f>SUM(S191+S194+S196+S198+S200+S205)</f>
        <v>786373</v>
      </c>
      <c r="T190" s="87">
        <f>SUM(T191+T194+T196+T198+T200+T205)</f>
        <v>45812</v>
      </c>
      <c r="U190" s="87">
        <f>SUM(U191+U194+U196+U198+U200+U205)</f>
        <v>832185</v>
      </c>
    </row>
    <row r="191" spans="1:21" x14ac:dyDescent="0.2">
      <c r="A191" s="75"/>
      <c r="B191" s="110" t="s">
        <v>121</v>
      </c>
      <c r="C191" s="107"/>
      <c r="D191" s="109">
        <v>85311</v>
      </c>
      <c r="E191" s="105">
        <f t="shared" ref="E191:K191" si="133">SUM(E192:E193)</f>
        <v>0</v>
      </c>
      <c r="F191" s="105">
        <f t="shared" si="133"/>
        <v>0</v>
      </c>
      <c r="G191" s="105">
        <f t="shared" si="133"/>
        <v>0</v>
      </c>
      <c r="H191" s="105">
        <f t="shared" si="133"/>
        <v>0</v>
      </c>
      <c r="I191" s="105">
        <f t="shared" si="133"/>
        <v>0</v>
      </c>
      <c r="J191" s="105">
        <f t="shared" si="133"/>
        <v>147712</v>
      </c>
      <c r="K191" s="105">
        <f t="shared" si="133"/>
        <v>147712</v>
      </c>
      <c r="L191" s="105">
        <f t="shared" ref="L191:Q191" si="134">SUM(L192:L193)</f>
        <v>0</v>
      </c>
      <c r="M191" s="105">
        <f t="shared" si="134"/>
        <v>147712</v>
      </c>
      <c r="N191" s="105">
        <f t="shared" si="134"/>
        <v>0</v>
      </c>
      <c r="O191" s="105">
        <f t="shared" si="134"/>
        <v>147712</v>
      </c>
      <c r="P191" s="105">
        <f t="shared" si="134"/>
        <v>0</v>
      </c>
      <c r="Q191" s="105">
        <f t="shared" si="134"/>
        <v>147712</v>
      </c>
      <c r="R191" s="105">
        <f>SUM(R192:R193)</f>
        <v>0</v>
      </c>
      <c r="S191" s="105">
        <f>SUM(S192:S193)</f>
        <v>147712</v>
      </c>
      <c r="T191" s="105">
        <f>SUM(T192:T193)</f>
        <v>0</v>
      </c>
      <c r="U191" s="105">
        <f>SUM(U192:U193)</f>
        <v>147712</v>
      </c>
    </row>
    <row r="192" spans="1:21" x14ac:dyDescent="0.2">
      <c r="A192" s="39"/>
      <c r="B192" s="51" t="s">
        <v>17</v>
      </c>
      <c r="C192" s="66" t="s">
        <v>85</v>
      </c>
      <c r="D192" s="67"/>
      <c r="E192" s="55"/>
      <c r="F192" s="55"/>
      <c r="G192" s="55">
        <f>SUM(E192:F192)</f>
        <v>0</v>
      </c>
      <c r="H192" s="55"/>
      <c r="I192" s="55">
        <f>SUM(G192:H192)</f>
        <v>0</v>
      </c>
      <c r="J192" s="55">
        <v>140285</v>
      </c>
      <c r="K192" s="55">
        <f>SUM(I192:J192)</f>
        <v>140285</v>
      </c>
      <c r="L192" s="55"/>
      <c r="M192" s="55">
        <f>SUM(K192:L192)</f>
        <v>140285</v>
      </c>
      <c r="N192" s="55"/>
      <c r="O192" s="55">
        <f>SUM(M192:N192)</f>
        <v>140285</v>
      </c>
      <c r="P192" s="55"/>
      <c r="Q192" s="55">
        <f>SUM(O192:P192)</f>
        <v>140285</v>
      </c>
      <c r="R192" s="55"/>
      <c r="S192" s="55">
        <f>SUM(Q192:R192)</f>
        <v>140285</v>
      </c>
      <c r="T192" s="55"/>
      <c r="U192" s="55">
        <f>SUM(S192:T192)</f>
        <v>140285</v>
      </c>
    </row>
    <row r="193" spans="1:21" x14ac:dyDescent="0.2">
      <c r="A193" s="39"/>
      <c r="B193" s="47" t="s">
        <v>17</v>
      </c>
      <c r="C193" s="66" t="s">
        <v>86</v>
      </c>
      <c r="D193" s="67"/>
      <c r="E193" s="55"/>
      <c r="F193" s="55"/>
      <c r="G193" s="55">
        <f>SUM(E193:F193)</f>
        <v>0</v>
      </c>
      <c r="H193" s="55"/>
      <c r="I193" s="55">
        <f>SUM(G193:H193)</f>
        <v>0</v>
      </c>
      <c r="J193" s="55">
        <v>7427</v>
      </c>
      <c r="K193" s="55">
        <f>SUM(I193:J193)</f>
        <v>7427</v>
      </c>
      <c r="L193" s="55"/>
      <c r="M193" s="55">
        <f>SUM(K193:L193)</f>
        <v>7427</v>
      </c>
      <c r="N193" s="55"/>
      <c r="O193" s="55">
        <f>SUM(M193:N193)</f>
        <v>7427</v>
      </c>
      <c r="P193" s="55"/>
      <c r="Q193" s="55">
        <f>SUM(O193:P193)</f>
        <v>7427</v>
      </c>
      <c r="R193" s="55"/>
      <c r="S193" s="55">
        <f>SUM(Q193:R193)</f>
        <v>7427</v>
      </c>
      <c r="T193" s="55"/>
      <c r="U193" s="55">
        <f>SUM(S193:T193)</f>
        <v>7427</v>
      </c>
    </row>
    <row r="194" spans="1:21" ht="12.95" customHeight="1" x14ac:dyDescent="0.2">
      <c r="A194" s="77"/>
      <c r="B194" s="102" t="s">
        <v>122</v>
      </c>
      <c r="C194" s="107"/>
      <c r="D194" s="109">
        <v>85321</v>
      </c>
      <c r="E194" s="105">
        <f t="shared" ref="E194:U194" si="135">SUM(E195)</f>
        <v>144900</v>
      </c>
      <c r="F194" s="105">
        <f t="shared" si="135"/>
        <v>0</v>
      </c>
      <c r="G194" s="105">
        <f t="shared" si="135"/>
        <v>144900</v>
      </c>
      <c r="H194" s="105">
        <f t="shared" si="135"/>
        <v>0</v>
      </c>
      <c r="I194" s="105">
        <f t="shared" si="135"/>
        <v>144900</v>
      </c>
      <c r="J194" s="105">
        <f t="shared" si="135"/>
        <v>0</v>
      </c>
      <c r="K194" s="105">
        <f t="shared" si="135"/>
        <v>144900</v>
      </c>
      <c r="L194" s="105">
        <f t="shared" si="135"/>
        <v>2370</v>
      </c>
      <c r="M194" s="105">
        <f t="shared" si="135"/>
        <v>147270</v>
      </c>
      <c r="N194" s="105">
        <f t="shared" si="135"/>
        <v>3142</v>
      </c>
      <c r="O194" s="105">
        <f t="shared" si="135"/>
        <v>150412</v>
      </c>
      <c r="P194" s="105">
        <f t="shared" si="135"/>
        <v>0</v>
      </c>
      <c r="Q194" s="105">
        <f t="shared" si="135"/>
        <v>150412</v>
      </c>
      <c r="R194" s="105">
        <f t="shared" si="135"/>
        <v>0</v>
      </c>
      <c r="S194" s="105">
        <f t="shared" si="135"/>
        <v>150412</v>
      </c>
      <c r="T194" s="105">
        <f t="shared" si="135"/>
        <v>0</v>
      </c>
      <c r="U194" s="105">
        <f t="shared" si="135"/>
        <v>150412</v>
      </c>
    </row>
    <row r="195" spans="1:21" ht="12.95" customHeight="1" x14ac:dyDescent="0.2">
      <c r="A195" s="43"/>
      <c r="B195" s="47" t="s">
        <v>40</v>
      </c>
      <c r="C195" s="66" t="s">
        <v>37</v>
      </c>
      <c r="D195" s="67"/>
      <c r="E195" s="55">
        <v>144900</v>
      </c>
      <c r="F195" s="55"/>
      <c r="G195" s="55">
        <f>SUM(E195:F195)</f>
        <v>144900</v>
      </c>
      <c r="H195" s="55"/>
      <c r="I195" s="55">
        <f>SUM(G195:H195)</f>
        <v>144900</v>
      </c>
      <c r="J195" s="55"/>
      <c r="K195" s="55">
        <f>SUM(I195:J195)</f>
        <v>144900</v>
      </c>
      <c r="L195" s="55">
        <v>2370</v>
      </c>
      <c r="M195" s="55">
        <f>SUM(K195:L195)</f>
        <v>147270</v>
      </c>
      <c r="N195" s="55">
        <f>3142</f>
        <v>3142</v>
      </c>
      <c r="O195" s="55">
        <f>SUM(M195:N195)</f>
        <v>150412</v>
      </c>
      <c r="P195" s="55"/>
      <c r="Q195" s="55">
        <f>SUM(O195:P195)</f>
        <v>150412</v>
      </c>
      <c r="R195" s="55"/>
      <c r="S195" s="55">
        <f>SUM(Q195:R195)</f>
        <v>150412</v>
      </c>
      <c r="T195" s="55"/>
      <c r="U195" s="55">
        <f>SUM(S195:T195)</f>
        <v>150412</v>
      </c>
    </row>
    <row r="196" spans="1:21" ht="12.95" customHeight="1" x14ac:dyDescent="0.2">
      <c r="A196" s="77"/>
      <c r="B196" s="110" t="s">
        <v>123</v>
      </c>
      <c r="C196" s="107"/>
      <c r="D196" s="109">
        <v>85322</v>
      </c>
      <c r="E196" s="105">
        <f t="shared" ref="E196:U196" si="136">SUM(E197)</f>
        <v>228500</v>
      </c>
      <c r="F196" s="105">
        <f t="shared" si="136"/>
        <v>0</v>
      </c>
      <c r="G196" s="105">
        <f t="shared" si="136"/>
        <v>228500</v>
      </c>
      <c r="H196" s="105">
        <f t="shared" si="136"/>
        <v>0</v>
      </c>
      <c r="I196" s="105">
        <f t="shared" si="136"/>
        <v>228500</v>
      </c>
      <c r="J196" s="105">
        <f t="shared" si="136"/>
        <v>0</v>
      </c>
      <c r="K196" s="105">
        <f t="shared" si="136"/>
        <v>228500</v>
      </c>
      <c r="L196" s="105">
        <f t="shared" si="136"/>
        <v>0</v>
      </c>
      <c r="M196" s="105">
        <f t="shared" si="136"/>
        <v>228500</v>
      </c>
      <c r="N196" s="105">
        <f t="shared" si="136"/>
        <v>0</v>
      </c>
      <c r="O196" s="105">
        <f t="shared" si="136"/>
        <v>228500</v>
      </c>
      <c r="P196" s="105">
        <f t="shared" si="136"/>
        <v>0</v>
      </c>
      <c r="Q196" s="105">
        <f t="shared" si="136"/>
        <v>228500</v>
      </c>
      <c r="R196" s="105">
        <f t="shared" si="136"/>
        <v>0</v>
      </c>
      <c r="S196" s="105">
        <f t="shared" si="136"/>
        <v>228500</v>
      </c>
      <c r="T196" s="105">
        <f t="shared" si="136"/>
        <v>0</v>
      </c>
      <c r="U196" s="105">
        <f t="shared" si="136"/>
        <v>228500</v>
      </c>
    </row>
    <row r="197" spans="1:21" ht="12.95" customHeight="1" x14ac:dyDescent="0.2">
      <c r="A197" s="43"/>
      <c r="B197" s="48" t="s">
        <v>124</v>
      </c>
      <c r="C197" s="66" t="s">
        <v>125</v>
      </c>
      <c r="D197" s="67"/>
      <c r="E197" s="55">
        <v>228500</v>
      </c>
      <c r="F197" s="55"/>
      <c r="G197" s="55">
        <f>SUM(E197:F197)</f>
        <v>228500</v>
      </c>
      <c r="H197" s="55"/>
      <c r="I197" s="55">
        <f>SUM(G197:H197)</f>
        <v>228500</v>
      </c>
      <c r="J197" s="55"/>
      <c r="K197" s="55">
        <f>SUM(I197:J197)</f>
        <v>228500</v>
      </c>
      <c r="L197" s="55"/>
      <c r="M197" s="55">
        <f>SUM(K197:L197)</f>
        <v>228500</v>
      </c>
      <c r="N197" s="55"/>
      <c r="O197" s="55">
        <f>SUM(M197:N197)</f>
        <v>228500</v>
      </c>
      <c r="P197" s="55"/>
      <c r="Q197" s="55">
        <f>SUM(O197:P197)</f>
        <v>228500</v>
      </c>
      <c r="R197" s="55"/>
      <c r="S197" s="55">
        <f>SUM(Q197:R197)</f>
        <v>228500</v>
      </c>
      <c r="T197" s="55"/>
      <c r="U197" s="55">
        <f>SUM(S197:T197)</f>
        <v>228500</v>
      </c>
    </row>
    <row r="198" spans="1:21" ht="12.95" customHeight="1" x14ac:dyDescent="0.2">
      <c r="A198" s="77"/>
      <c r="B198" s="102" t="s">
        <v>126</v>
      </c>
      <c r="C198" s="107"/>
      <c r="D198" s="109">
        <v>85324</v>
      </c>
      <c r="E198" s="105">
        <f t="shared" ref="E198:U198" si="137">SUM(E199)</f>
        <v>31450</v>
      </c>
      <c r="F198" s="105">
        <f t="shared" si="137"/>
        <v>0</v>
      </c>
      <c r="G198" s="105">
        <f t="shared" si="137"/>
        <v>31450</v>
      </c>
      <c r="H198" s="105">
        <f t="shared" si="137"/>
        <v>0</v>
      </c>
      <c r="I198" s="105">
        <f t="shared" si="137"/>
        <v>31450</v>
      </c>
      <c r="J198" s="105">
        <f t="shared" si="137"/>
        <v>0</v>
      </c>
      <c r="K198" s="105">
        <f t="shared" si="137"/>
        <v>31450</v>
      </c>
      <c r="L198" s="105">
        <f t="shared" si="137"/>
        <v>0</v>
      </c>
      <c r="M198" s="105">
        <f t="shared" si="137"/>
        <v>31450</v>
      </c>
      <c r="N198" s="105">
        <f t="shared" si="137"/>
        <v>0</v>
      </c>
      <c r="O198" s="105">
        <f t="shared" si="137"/>
        <v>31450</v>
      </c>
      <c r="P198" s="105">
        <f t="shared" si="137"/>
        <v>19533</v>
      </c>
      <c r="Q198" s="105">
        <f t="shared" si="137"/>
        <v>50983</v>
      </c>
      <c r="R198" s="105">
        <f t="shared" si="137"/>
        <v>0</v>
      </c>
      <c r="S198" s="105">
        <f t="shared" si="137"/>
        <v>50983</v>
      </c>
      <c r="T198" s="105">
        <f t="shared" si="137"/>
        <v>0</v>
      </c>
      <c r="U198" s="105">
        <f t="shared" si="137"/>
        <v>50983</v>
      </c>
    </row>
    <row r="199" spans="1:21" ht="12.95" customHeight="1" x14ac:dyDescent="0.2">
      <c r="A199" s="43"/>
      <c r="B199" s="48" t="s">
        <v>7</v>
      </c>
      <c r="C199" s="66" t="s">
        <v>8</v>
      </c>
      <c r="D199" s="67"/>
      <c r="E199" s="55">
        <v>31450</v>
      </c>
      <c r="F199" s="55"/>
      <c r="G199" s="55">
        <f>SUM(E199:F199)</f>
        <v>31450</v>
      </c>
      <c r="H199" s="55"/>
      <c r="I199" s="55">
        <f>SUM(G199:H199)</f>
        <v>31450</v>
      </c>
      <c r="J199" s="55"/>
      <c r="K199" s="55">
        <f>SUM(I199:J199)</f>
        <v>31450</v>
      </c>
      <c r="L199" s="55"/>
      <c r="M199" s="55">
        <f>SUM(K199:L199)</f>
        <v>31450</v>
      </c>
      <c r="N199" s="55"/>
      <c r="O199" s="55">
        <f>SUM(M199:N199)</f>
        <v>31450</v>
      </c>
      <c r="P199" s="55">
        <v>19533</v>
      </c>
      <c r="Q199" s="55">
        <f>SUM(O199:P199)</f>
        <v>50983</v>
      </c>
      <c r="R199" s="55"/>
      <c r="S199" s="55">
        <f>SUM(Q199:R199)</f>
        <v>50983</v>
      </c>
      <c r="T199" s="55"/>
      <c r="U199" s="55">
        <f>SUM(S199:T199)</f>
        <v>50983</v>
      </c>
    </row>
    <row r="200" spans="1:21" ht="12.95" customHeight="1" x14ac:dyDescent="0.2">
      <c r="A200" s="75"/>
      <c r="B200" s="102" t="s">
        <v>127</v>
      </c>
      <c r="C200" s="107"/>
      <c r="D200" s="109">
        <v>85333</v>
      </c>
      <c r="E200" s="111">
        <f t="shared" ref="E200:K200" si="138">SUM(E202:E204)</f>
        <v>162909</v>
      </c>
      <c r="F200" s="111">
        <f t="shared" si="138"/>
        <v>0</v>
      </c>
      <c r="G200" s="111">
        <f t="shared" si="138"/>
        <v>162909</v>
      </c>
      <c r="H200" s="111">
        <f t="shared" si="138"/>
        <v>1602</v>
      </c>
      <c r="I200" s="111">
        <f t="shared" si="138"/>
        <v>164511</v>
      </c>
      <c r="J200" s="111">
        <f t="shared" si="138"/>
        <v>0</v>
      </c>
      <c r="K200" s="111">
        <f t="shared" si="138"/>
        <v>164511</v>
      </c>
      <c r="L200" s="111">
        <f t="shared" ref="L200:Q200" si="139">SUM(L202:L204)</f>
        <v>0</v>
      </c>
      <c r="M200" s="111">
        <f t="shared" si="139"/>
        <v>164511</v>
      </c>
      <c r="N200" s="111">
        <f t="shared" si="139"/>
        <v>0</v>
      </c>
      <c r="O200" s="111">
        <f t="shared" si="139"/>
        <v>164511</v>
      </c>
      <c r="P200" s="111">
        <f t="shared" si="139"/>
        <v>0</v>
      </c>
      <c r="Q200" s="111">
        <f t="shared" si="139"/>
        <v>164511</v>
      </c>
      <c r="R200" s="111">
        <f>SUM(R202:R204)</f>
        <v>0</v>
      </c>
      <c r="S200" s="111">
        <f>SUM(S201:S204)</f>
        <v>164511</v>
      </c>
      <c r="T200" s="111">
        <f>SUM(T201:T204)</f>
        <v>39227</v>
      </c>
      <c r="U200" s="111">
        <f>SUM(U201:U204)</f>
        <v>203738</v>
      </c>
    </row>
    <row r="201" spans="1:21" ht="12.95" customHeight="1" x14ac:dyDescent="0.2">
      <c r="A201" s="140"/>
      <c r="B201" s="47" t="s">
        <v>56</v>
      </c>
      <c r="C201" s="66" t="s">
        <v>57</v>
      </c>
      <c r="D201" s="141"/>
      <c r="E201" s="142"/>
      <c r="F201" s="142"/>
      <c r="G201" s="142"/>
      <c r="H201" s="142"/>
      <c r="I201" s="142"/>
      <c r="J201" s="142"/>
      <c r="K201" s="142"/>
      <c r="L201" s="142"/>
      <c r="M201" s="142"/>
      <c r="N201" s="142"/>
      <c r="O201" s="142"/>
      <c r="P201" s="142"/>
      <c r="Q201" s="142"/>
      <c r="R201" s="142"/>
      <c r="S201" s="142"/>
      <c r="T201" s="132">
        <v>3458</v>
      </c>
      <c r="U201" s="55">
        <f>SUM(S201:T201)</f>
        <v>3458</v>
      </c>
    </row>
    <row r="202" spans="1:21" ht="12.95" customHeight="1" x14ac:dyDescent="0.2">
      <c r="A202" s="40"/>
      <c r="B202" s="48" t="s">
        <v>7</v>
      </c>
      <c r="C202" s="66" t="s">
        <v>8</v>
      </c>
      <c r="D202" s="67"/>
      <c r="E202" s="55">
        <f>23300</f>
        <v>23300</v>
      </c>
      <c r="F202" s="55"/>
      <c r="G202" s="55">
        <f>SUM(E202:F202)</f>
        <v>23300</v>
      </c>
      <c r="H202" s="55"/>
      <c r="I202" s="55">
        <f>SUM(G202:H202)</f>
        <v>23300</v>
      </c>
      <c r="J202" s="55"/>
      <c r="K202" s="55">
        <f>SUM(I202:J202)</f>
        <v>23300</v>
      </c>
      <c r="L202" s="55"/>
      <c r="M202" s="55">
        <f>SUM(K202:L202)</f>
        <v>23300</v>
      </c>
      <c r="N202" s="55"/>
      <c r="O202" s="55">
        <f>SUM(M202:N202)</f>
        <v>23300</v>
      </c>
      <c r="P202" s="55"/>
      <c r="Q202" s="55">
        <f>SUM(O202:P202)</f>
        <v>23300</v>
      </c>
      <c r="R202" s="55"/>
      <c r="S202" s="55">
        <f>SUM(Q202:R202)</f>
        <v>23300</v>
      </c>
      <c r="T202" s="55"/>
      <c r="U202" s="55">
        <f>SUM(S202:T202)</f>
        <v>23300</v>
      </c>
    </row>
    <row r="203" spans="1:21" ht="12.95" customHeight="1" x14ac:dyDescent="0.2">
      <c r="A203" s="40"/>
      <c r="B203" s="48" t="s">
        <v>7</v>
      </c>
      <c r="C203" s="66" t="s">
        <v>128</v>
      </c>
      <c r="D203" s="67"/>
      <c r="E203" s="55">
        <f>15290</f>
        <v>15290</v>
      </c>
      <c r="F203" s="55"/>
      <c r="G203" s="55">
        <f>SUM(E203:F203)</f>
        <v>15290</v>
      </c>
      <c r="H203" s="55"/>
      <c r="I203" s="55">
        <f>SUM(G203:H203)</f>
        <v>15290</v>
      </c>
      <c r="J203" s="55"/>
      <c r="K203" s="55">
        <f>SUM(I203:J203)</f>
        <v>15290</v>
      </c>
      <c r="L203" s="55"/>
      <c r="M203" s="55">
        <f>SUM(K203:L203)</f>
        <v>15290</v>
      </c>
      <c r="N203" s="55"/>
      <c r="O203" s="55">
        <f>SUM(M203:N203)</f>
        <v>15290</v>
      </c>
      <c r="P203" s="55"/>
      <c r="Q203" s="55">
        <f>SUM(O203:P203)</f>
        <v>15290</v>
      </c>
      <c r="R203" s="55"/>
      <c r="S203" s="55">
        <f>SUM(Q203:R203)</f>
        <v>15290</v>
      </c>
      <c r="T203" s="55">
        <v>3193</v>
      </c>
      <c r="U203" s="55">
        <f>SUM(S203:T203)</f>
        <v>18483</v>
      </c>
    </row>
    <row r="204" spans="1:21" x14ac:dyDescent="0.2">
      <c r="A204" s="40"/>
      <c r="B204" s="47" t="s">
        <v>17</v>
      </c>
      <c r="C204" s="66" t="s">
        <v>85</v>
      </c>
      <c r="D204" s="67"/>
      <c r="E204" s="55">
        <v>124319</v>
      </c>
      <c r="F204" s="55"/>
      <c r="G204" s="55">
        <f>SUM(E204:F204)</f>
        <v>124319</v>
      </c>
      <c r="H204" s="55">
        <v>1602</v>
      </c>
      <c r="I204" s="55">
        <f>SUM(G204:H204)</f>
        <v>125921</v>
      </c>
      <c r="J204" s="55"/>
      <c r="K204" s="55">
        <f>SUM(I204:J204)</f>
        <v>125921</v>
      </c>
      <c r="L204" s="55"/>
      <c r="M204" s="55">
        <f>SUM(K204:L204)</f>
        <v>125921</v>
      </c>
      <c r="N204" s="55"/>
      <c r="O204" s="55">
        <f>SUM(M204:N204)</f>
        <v>125921</v>
      </c>
      <c r="P204" s="55"/>
      <c r="Q204" s="55">
        <f>SUM(O204:P204)</f>
        <v>125921</v>
      </c>
      <c r="R204" s="55"/>
      <c r="S204" s="55">
        <f>SUM(Q204:R204)</f>
        <v>125921</v>
      </c>
      <c r="T204" s="55">
        <v>32576</v>
      </c>
      <c r="U204" s="55">
        <f>SUM(S204:T204)</f>
        <v>158497</v>
      </c>
    </row>
    <row r="205" spans="1:21" x14ac:dyDescent="0.2">
      <c r="A205" s="75"/>
      <c r="B205" s="110" t="s">
        <v>129</v>
      </c>
      <c r="C205" s="107"/>
      <c r="D205" s="109">
        <v>85334</v>
      </c>
      <c r="E205" s="105">
        <f t="shared" ref="E205:U205" si="140">SUM(E206)</f>
        <v>0</v>
      </c>
      <c r="F205" s="105">
        <f t="shared" si="140"/>
        <v>0</v>
      </c>
      <c r="G205" s="105">
        <f t="shared" si="140"/>
        <v>0</v>
      </c>
      <c r="H205" s="105">
        <f t="shared" si="140"/>
        <v>0</v>
      </c>
      <c r="I205" s="105">
        <f t="shared" si="140"/>
        <v>0</v>
      </c>
      <c r="J205" s="105">
        <f t="shared" si="140"/>
        <v>11853</v>
      </c>
      <c r="K205" s="105">
        <f t="shared" si="140"/>
        <v>11853</v>
      </c>
      <c r="L205" s="105">
        <f t="shared" si="140"/>
        <v>0</v>
      </c>
      <c r="M205" s="105">
        <f t="shared" si="140"/>
        <v>11853</v>
      </c>
      <c r="N205" s="105">
        <f t="shared" si="140"/>
        <v>32402</v>
      </c>
      <c r="O205" s="105">
        <f t="shared" si="140"/>
        <v>44255</v>
      </c>
      <c r="P205" s="105">
        <f t="shared" si="140"/>
        <v>0</v>
      </c>
      <c r="Q205" s="105">
        <f t="shared" si="140"/>
        <v>44255</v>
      </c>
      <c r="R205" s="105">
        <f t="shared" si="140"/>
        <v>0</v>
      </c>
      <c r="S205" s="105">
        <f t="shared" si="140"/>
        <v>44255</v>
      </c>
      <c r="T205" s="105">
        <f t="shared" si="140"/>
        <v>6585</v>
      </c>
      <c r="U205" s="105">
        <f t="shared" si="140"/>
        <v>50840</v>
      </c>
    </row>
    <row r="206" spans="1:21" x14ac:dyDescent="0.2">
      <c r="A206" s="40"/>
      <c r="B206" s="47" t="s">
        <v>99</v>
      </c>
      <c r="C206" s="66" t="s">
        <v>37</v>
      </c>
      <c r="D206" s="67"/>
      <c r="E206" s="55"/>
      <c r="F206" s="55"/>
      <c r="G206" s="55">
        <f>SUM(E206:F206)</f>
        <v>0</v>
      </c>
      <c r="H206" s="55"/>
      <c r="I206" s="55">
        <f>SUM(G206:H206)</f>
        <v>0</v>
      </c>
      <c r="J206" s="55">
        <v>11853</v>
      </c>
      <c r="K206" s="55">
        <f>SUM(I206:J206)</f>
        <v>11853</v>
      </c>
      <c r="L206" s="55"/>
      <c r="M206" s="55">
        <f>SUM(K206:L206)</f>
        <v>11853</v>
      </c>
      <c r="N206" s="55">
        <f>32402</f>
        <v>32402</v>
      </c>
      <c r="O206" s="55">
        <f>SUM(M206:N206)</f>
        <v>44255</v>
      </c>
      <c r="P206" s="55"/>
      <c r="Q206" s="55">
        <f>SUM(O206:P206)</f>
        <v>44255</v>
      </c>
      <c r="R206" s="55"/>
      <c r="S206" s="55">
        <f>SUM(Q206:R206)</f>
        <v>44255</v>
      </c>
      <c r="T206" s="55">
        <v>6585</v>
      </c>
      <c r="U206" s="55">
        <f>SUM(S206:T206)</f>
        <v>50840</v>
      </c>
    </row>
    <row r="207" spans="1:21" ht="12.95" customHeight="1" x14ac:dyDescent="0.2">
      <c r="A207" s="93">
        <v>854</v>
      </c>
      <c r="B207" s="94" t="s">
        <v>130</v>
      </c>
      <c r="C207" s="95"/>
      <c r="D207" s="96"/>
      <c r="E207" s="89">
        <f t="shared" ref="E207:K207" si="141">SUM(E208+E212+E218+E223)</f>
        <v>539564</v>
      </c>
      <c r="F207" s="89">
        <f t="shared" si="141"/>
        <v>0</v>
      </c>
      <c r="G207" s="89">
        <f t="shared" si="141"/>
        <v>539564</v>
      </c>
      <c r="H207" s="89">
        <f t="shared" si="141"/>
        <v>0</v>
      </c>
      <c r="I207" s="89">
        <f t="shared" si="141"/>
        <v>539564</v>
      </c>
      <c r="J207" s="89">
        <f t="shared" si="141"/>
        <v>0</v>
      </c>
      <c r="K207" s="89">
        <f t="shared" si="141"/>
        <v>539564</v>
      </c>
      <c r="L207" s="89">
        <f>SUM(L208+L212+L218+L223)</f>
        <v>0</v>
      </c>
      <c r="M207" s="89">
        <f t="shared" ref="M207:S207" si="142">SUM(M208+M212+M218+M223+M226)</f>
        <v>539564</v>
      </c>
      <c r="N207" s="89">
        <f t="shared" si="142"/>
        <v>252400</v>
      </c>
      <c r="O207" s="89">
        <f t="shared" si="142"/>
        <v>791964</v>
      </c>
      <c r="P207" s="89">
        <f t="shared" si="142"/>
        <v>7593</v>
      </c>
      <c r="Q207" s="89">
        <f t="shared" si="142"/>
        <v>799557</v>
      </c>
      <c r="R207" s="89">
        <f t="shared" si="142"/>
        <v>0</v>
      </c>
      <c r="S207" s="89">
        <f t="shared" si="142"/>
        <v>799557</v>
      </c>
      <c r="T207" s="89">
        <f>SUM(T208+T212+T218+T223+T226)</f>
        <v>0</v>
      </c>
      <c r="U207" s="89">
        <f>SUM(U208+U212+U218+U223+U226)</f>
        <v>799557</v>
      </c>
    </row>
    <row r="208" spans="1:21" ht="12.95" customHeight="1" x14ac:dyDescent="0.2">
      <c r="A208" s="77"/>
      <c r="B208" s="110" t="s">
        <v>131</v>
      </c>
      <c r="C208" s="107"/>
      <c r="D208" s="109">
        <v>85406</v>
      </c>
      <c r="E208" s="105">
        <f t="shared" ref="E208:K208" si="143">SUM(E209:E211)</f>
        <v>17119</v>
      </c>
      <c r="F208" s="105">
        <f t="shared" si="143"/>
        <v>0</v>
      </c>
      <c r="G208" s="105">
        <f t="shared" si="143"/>
        <v>17119</v>
      </c>
      <c r="H208" s="105">
        <f t="shared" si="143"/>
        <v>0</v>
      </c>
      <c r="I208" s="105">
        <f t="shared" si="143"/>
        <v>17119</v>
      </c>
      <c r="J208" s="105">
        <f t="shared" si="143"/>
        <v>0</v>
      </c>
      <c r="K208" s="105">
        <f t="shared" si="143"/>
        <v>17119</v>
      </c>
      <c r="L208" s="105">
        <f t="shared" ref="L208:Q208" si="144">SUM(L209:L211)</f>
        <v>0</v>
      </c>
      <c r="M208" s="105">
        <f t="shared" si="144"/>
        <v>17119</v>
      </c>
      <c r="N208" s="105">
        <f t="shared" si="144"/>
        <v>0</v>
      </c>
      <c r="O208" s="105">
        <f t="shared" si="144"/>
        <v>17119</v>
      </c>
      <c r="P208" s="105">
        <f t="shared" si="144"/>
        <v>0</v>
      </c>
      <c r="Q208" s="105">
        <f t="shared" si="144"/>
        <v>17119</v>
      </c>
      <c r="R208" s="105">
        <f>SUM(R209:R211)</f>
        <v>0</v>
      </c>
      <c r="S208" s="105">
        <f>SUM(S209:S211)</f>
        <v>17119</v>
      </c>
      <c r="T208" s="105">
        <f>SUM(T209:T211)</f>
        <v>0</v>
      </c>
      <c r="U208" s="105">
        <f>SUM(U209:U211)</f>
        <v>17119</v>
      </c>
    </row>
    <row r="209" spans="1:21" ht="12.95" customHeight="1" x14ac:dyDescent="0.2">
      <c r="A209" s="37"/>
      <c r="B209" s="47" t="s">
        <v>56</v>
      </c>
      <c r="C209" s="66" t="s">
        <v>57</v>
      </c>
      <c r="D209" s="67"/>
      <c r="E209" s="55">
        <f>509</f>
        <v>509</v>
      </c>
      <c r="F209" s="55"/>
      <c r="G209" s="55">
        <f>SUM(E209:F209)</f>
        <v>509</v>
      </c>
      <c r="H209" s="55"/>
      <c r="I209" s="55">
        <f>SUM(G209:H209)</f>
        <v>509</v>
      </c>
      <c r="J209" s="55"/>
      <c r="K209" s="55">
        <f>SUM(I209:J209)</f>
        <v>509</v>
      </c>
      <c r="L209" s="55"/>
      <c r="M209" s="55">
        <f>SUM(K209:L209)</f>
        <v>509</v>
      </c>
      <c r="N209" s="55"/>
      <c r="O209" s="55">
        <f>SUM(M209:N209)</f>
        <v>509</v>
      </c>
      <c r="P209" s="55"/>
      <c r="Q209" s="55">
        <f>SUM(O209:P209)</f>
        <v>509</v>
      </c>
      <c r="R209" s="55"/>
      <c r="S209" s="55">
        <f>SUM(Q209:R209)</f>
        <v>509</v>
      </c>
      <c r="T209" s="55"/>
      <c r="U209" s="55">
        <f>SUM(S209:T209)</f>
        <v>509</v>
      </c>
    </row>
    <row r="210" spans="1:21" ht="12.95" customHeight="1" x14ac:dyDescent="0.2">
      <c r="A210" s="37"/>
      <c r="B210" s="48" t="s">
        <v>48</v>
      </c>
      <c r="C210" s="66" t="s">
        <v>49</v>
      </c>
      <c r="D210" s="67"/>
      <c r="E210" s="55">
        <f>16500</f>
        <v>16500</v>
      </c>
      <c r="F210" s="55"/>
      <c r="G210" s="55">
        <f>SUM(E210:F210)</f>
        <v>16500</v>
      </c>
      <c r="H210" s="55"/>
      <c r="I210" s="55">
        <f>SUM(G210:H210)</f>
        <v>16500</v>
      </c>
      <c r="J210" s="55"/>
      <c r="K210" s="55">
        <f>SUM(I210:J210)</f>
        <v>16500</v>
      </c>
      <c r="L210" s="55"/>
      <c r="M210" s="55">
        <f>SUM(K210:L210)</f>
        <v>16500</v>
      </c>
      <c r="N210" s="55"/>
      <c r="O210" s="55">
        <f>SUM(M210:N210)</f>
        <v>16500</v>
      </c>
      <c r="P210" s="55"/>
      <c r="Q210" s="55">
        <f>SUM(O210:P210)</f>
        <v>16500</v>
      </c>
      <c r="R210" s="55"/>
      <c r="S210" s="55">
        <f>SUM(Q210:R210)</f>
        <v>16500</v>
      </c>
      <c r="T210" s="55"/>
      <c r="U210" s="55">
        <f>SUM(S210:T210)</f>
        <v>16500</v>
      </c>
    </row>
    <row r="211" spans="1:21" ht="12.95" customHeight="1" x14ac:dyDescent="0.2">
      <c r="A211" s="37"/>
      <c r="B211" s="48" t="s">
        <v>7</v>
      </c>
      <c r="C211" s="66" t="s">
        <v>8</v>
      </c>
      <c r="D211" s="67"/>
      <c r="E211" s="55">
        <f>110</f>
        <v>110</v>
      </c>
      <c r="F211" s="55"/>
      <c r="G211" s="55">
        <f>SUM(E211:F211)</f>
        <v>110</v>
      </c>
      <c r="H211" s="55"/>
      <c r="I211" s="55">
        <f>SUM(G211:H211)</f>
        <v>110</v>
      </c>
      <c r="J211" s="55"/>
      <c r="K211" s="55">
        <f>SUM(I211:J211)</f>
        <v>110</v>
      </c>
      <c r="L211" s="55"/>
      <c r="M211" s="55">
        <f>SUM(K211:L211)</f>
        <v>110</v>
      </c>
      <c r="N211" s="55"/>
      <c r="O211" s="55">
        <f>SUM(M211:N211)</f>
        <v>110</v>
      </c>
      <c r="P211" s="55"/>
      <c r="Q211" s="55">
        <f>SUM(O211:P211)</f>
        <v>110</v>
      </c>
      <c r="R211" s="55"/>
      <c r="S211" s="55">
        <f>SUM(Q211:R211)</f>
        <v>110</v>
      </c>
      <c r="T211" s="55"/>
      <c r="U211" s="55">
        <f>SUM(S211:T211)</f>
        <v>110</v>
      </c>
    </row>
    <row r="212" spans="1:21" ht="12.95" customHeight="1" x14ac:dyDescent="0.2">
      <c r="A212" s="77"/>
      <c r="B212" s="110" t="s">
        <v>132</v>
      </c>
      <c r="C212" s="107"/>
      <c r="D212" s="109">
        <v>85407</v>
      </c>
      <c r="E212" s="111">
        <f t="shared" ref="E212:K212" si="145">SUM(E213:E216)</f>
        <v>28150</v>
      </c>
      <c r="F212" s="111">
        <f t="shared" si="145"/>
        <v>0</v>
      </c>
      <c r="G212" s="111">
        <f t="shared" si="145"/>
        <v>28150</v>
      </c>
      <c r="H212" s="111">
        <f t="shared" si="145"/>
        <v>0</v>
      </c>
      <c r="I212" s="111">
        <f t="shared" si="145"/>
        <v>28150</v>
      </c>
      <c r="J212" s="111">
        <f t="shared" si="145"/>
        <v>0</v>
      </c>
      <c r="K212" s="111">
        <f t="shared" si="145"/>
        <v>28150</v>
      </c>
      <c r="L212" s="111">
        <f>SUM(L213:L216)</f>
        <v>0</v>
      </c>
      <c r="M212" s="111">
        <f t="shared" ref="M212:S212" si="146">SUM(M213:M217)</f>
        <v>28150</v>
      </c>
      <c r="N212" s="111">
        <f t="shared" si="146"/>
        <v>32400</v>
      </c>
      <c r="O212" s="111">
        <f t="shared" si="146"/>
        <v>60550</v>
      </c>
      <c r="P212" s="111">
        <f t="shared" si="146"/>
        <v>7593</v>
      </c>
      <c r="Q212" s="111">
        <f t="shared" si="146"/>
        <v>68143</v>
      </c>
      <c r="R212" s="111">
        <f t="shared" si="146"/>
        <v>0</v>
      </c>
      <c r="S212" s="111">
        <f t="shared" si="146"/>
        <v>68143</v>
      </c>
      <c r="T212" s="111">
        <f>SUM(T213:T217)</f>
        <v>-7000</v>
      </c>
      <c r="U212" s="111">
        <f>SUM(U213:U217)</f>
        <v>61143</v>
      </c>
    </row>
    <row r="213" spans="1:21" ht="12.95" customHeight="1" x14ac:dyDescent="0.2">
      <c r="A213" s="37"/>
      <c r="B213" s="47" t="s">
        <v>56</v>
      </c>
      <c r="C213" s="66" t="s">
        <v>57</v>
      </c>
      <c r="D213" s="67"/>
      <c r="E213" s="55">
        <f>18000</f>
        <v>18000</v>
      </c>
      <c r="F213" s="55"/>
      <c r="G213" s="55">
        <f>SUM(E213:F213)</f>
        <v>18000</v>
      </c>
      <c r="H213" s="55"/>
      <c r="I213" s="55">
        <f>SUM(G213:H213)</f>
        <v>18000</v>
      </c>
      <c r="J213" s="55"/>
      <c r="K213" s="55">
        <f>SUM(I213:J213)</f>
        <v>18000</v>
      </c>
      <c r="L213" s="55"/>
      <c r="M213" s="55">
        <f>SUM(K213:L213)</f>
        <v>18000</v>
      </c>
      <c r="N213" s="55"/>
      <c r="O213" s="55">
        <f>SUM(M213:N213)</f>
        <v>18000</v>
      </c>
      <c r="P213" s="55"/>
      <c r="Q213" s="55">
        <f>SUM(O213:P213)</f>
        <v>18000</v>
      </c>
      <c r="R213" s="55"/>
      <c r="S213" s="55">
        <f>SUM(Q213:R213)</f>
        <v>18000</v>
      </c>
      <c r="T213" s="55"/>
      <c r="U213" s="55">
        <f>SUM(S213:T213)</f>
        <v>18000</v>
      </c>
    </row>
    <row r="214" spans="1:21" ht="12.95" customHeight="1" x14ac:dyDescent="0.2">
      <c r="A214" s="37"/>
      <c r="B214" s="48" t="s">
        <v>48</v>
      </c>
      <c r="C214" s="66" t="s">
        <v>49</v>
      </c>
      <c r="D214" s="67"/>
      <c r="E214" s="55">
        <f>2580</f>
        <v>2580</v>
      </c>
      <c r="F214" s="55"/>
      <c r="G214" s="55">
        <f>SUM(E214:F214)</f>
        <v>2580</v>
      </c>
      <c r="H214" s="55"/>
      <c r="I214" s="55">
        <f>SUM(G214:H214)</f>
        <v>2580</v>
      </c>
      <c r="J214" s="55"/>
      <c r="K214" s="55">
        <f>SUM(I214:J214)</f>
        <v>2580</v>
      </c>
      <c r="L214" s="55"/>
      <c r="M214" s="55">
        <f>SUM(K214:L214)</f>
        <v>2580</v>
      </c>
      <c r="N214" s="55"/>
      <c r="O214" s="55">
        <f>SUM(M214:N214)</f>
        <v>2580</v>
      </c>
      <c r="P214" s="55"/>
      <c r="Q214" s="55">
        <f>SUM(O214:P214)</f>
        <v>2580</v>
      </c>
      <c r="R214" s="55"/>
      <c r="S214" s="55">
        <f>SUM(Q214:R214)</f>
        <v>2580</v>
      </c>
      <c r="T214" s="55"/>
      <c r="U214" s="55">
        <f>SUM(S214:T214)</f>
        <v>2580</v>
      </c>
    </row>
    <row r="215" spans="1:21" ht="12.95" hidden="1" customHeight="1" x14ac:dyDescent="0.2">
      <c r="A215" s="37"/>
      <c r="B215" s="48" t="s">
        <v>101</v>
      </c>
      <c r="C215" s="66" t="s">
        <v>133</v>
      </c>
      <c r="D215" s="67"/>
      <c r="E215" s="55"/>
      <c r="F215" s="55"/>
      <c r="G215" s="55">
        <f>SUM(E215:F215)</f>
        <v>0</v>
      </c>
      <c r="H215" s="55"/>
      <c r="I215" s="55">
        <f>SUM(G215:H215)</f>
        <v>0</v>
      </c>
      <c r="J215" s="55"/>
      <c r="K215" s="55">
        <f>SUM(I215:J215)</f>
        <v>0</v>
      </c>
      <c r="L215" s="55"/>
      <c r="M215" s="55">
        <f>SUM(K215:L215)</f>
        <v>0</v>
      </c>
      <c r="N215" s="55"/>
      <c r="O215" s="55">
        <f>SUM(M215:N215)</f>
        <v>0</v>
      </c>
      <c r="P215" s="55"/>
      <c r="Q215" s="55">
        <f>SUM(O215:P215)</f>
        <v>0</v>
      </c>
      <c r="R215" s="55"/>
      <c r="S215" s="55">
        <f>SUM(Q215:R215)</f>
        <v>0</v>
      </c>
      <c r="T215" s="55"/>
      <c r="U215" s="55">
        <f>SUM(S215:T215)</f>
        <v>0</v>
      </c>
    </row>
    <row r="216" spans="1:21" ht="12.95" customHeight="1" x14ac:dyDescent="0.2">
      <c r="A216" s="37"/>
      <c r="B216" s="48" t="s">
        <v>7</v>
      </c>
      <c r="C216" s="66" t="s">
        <v>8</v>
      </c>
      <c r="D216" s="67"/>
      <c r="E216" s="55">
        <f>7570</f>
        <v>7570</v>
      </c>
      <c r="F216" s="55"/>
      <c r="G216" s="55">
        <f>SUM(E216:F216)</f>
        <v>7570</v>
      </c>
      <c r="H216" s="55"/>
      <c r="I216" s="55">
        <f>SUM(G216:H216)</f>
        <v>7570</v>
      </c>
      <c r="J216" s="55"/>
      <c r="K216" s="55">
        <f>SUM(I216:J216)</f>
        <v>7570</v>
      </c>
      <c r="L216" s="55"/>
      <c r="M216" s="55">
        <f>SUM(K216:L216)</f>
        <v>7570</v>
      </c>
      <c r="N216" s="55"/>
      <c r="O216" s="55">
        <f>SUM(M216:N216)</f>
        <v>7570</v>
      </c>
      <c r="P216" s="55">
        <v>7593</v>
      </c>
      <c r="Q216" s="55">
        <f>SUM(O216:P216)</f>
        <v>15163</v>
      </c>
      <c r="R216" s="55"/>
      <c r="S216" s="55">
        <f>SUM(Q216:R216)</f>
        <v>15163</v>
      </c>
      <c r="T216" s="55">
        <v>-7000</v>
      </c>
      <c r="U216" s="55">
        <f>SUM(S216:T216)</f>
        <v>8163</v>
      </c>
    </row>
    <row r="217" spans="1:21" ht="12.95" customHeight="1" x14ac:dyDescent="0.2">
      <c r="A217" s="37"/>
      <c r="B217" s="48" t="s">
        <v>281</v>
      </c>
      <c r="C217" s="66" t="s">
        <v>133</v>
      </c>
      <c r="D217" s="67"/>
      <c r="E217" s="55"/>
      <c r="F217" s="55"/>
      <c r="G217" s="55"/>
      <c r="H217" s="55"/>
      <c r="I217" s="55"/>
      <c r="J217" s="55"/>
      <c r="K217" s="55"/>
      <c r="L217" s="55"/>
      <c r="M217" s="55"/>
      <c r="N217" s="55">
        <v>32400</v>
      </c>
      <c r="O217" s="55">
        <f>SUM(M217:N217)</f>
        <v>32400</v>
      </c>
      <c r="P217" s="55"/>
      <c r="Q217" s="55">
        <f>SUM(O217:P217)</f>
        <v>32400</v>
      </c>
      <c r="R217" s="55"/>
      <c r="S217" s="55">
        <f>SUM(Q217:R217)</f>
        <v>32400</v>
      </c>
      <c r="T217" s="55"/>
      <c r="U217" s="55">
        <f>SUM(S217:T217)</f>
        <v>32400</v>
      </c>
    </row>
    <row r="218" spans="1:21" ht="12.95" customHeight="1" x14ac:dyDescent="0.2">
      <c r="A218" s="77"/>
      <c r="B218" s="116" t="s">
        <v>134</v>
      </c>
      <c r="C218" s="117"/>
      <c r="D218" s="118">
        <v>85410</v>
      </c>
      <c r="E218" s="119">
        <f t="shared" ref="E218:K218" si="147">SUM(E219:E222)</f>
        <v>366495</v>
      </c>
      <c r="F218" s="119">
        <f t="shared" si="147"/>
        <v>0</v>
      </c>
      <c r="G218" s="119">
        <f t="shared" si="147"/>
        <v>366495</v>
      </c>
      <c r="H218" s="119">
        <f t="shared" si="147"/>
        <v>0</v>
      </c>
      <c r="I218" s="119">
        <f t="shared" si="147"/>
        <v>366495</v>
      </c>
      <c r="J218" s="119">
        <f t="shared" si="147"/>
        <v>0</v>
      </c>
      <c r="K218" s="119">
        <f t="shared" si="147"/>
        <v>366495</v>
      </c>
      <c r="L218" s="119">
        <f t="shared" ref="L218:Q218" si="148">SUM(L219:L222)</f>
        <v>0</v>
      </c>
      <c r="M218" s="119">
        <f t="shared" si="148"/>
        <v>366495</v>
      </c>
      <c r="N218" s="119">
        <f t="shared" si="148"/>
        <v>0</v>
      </c>
      <c r="O218" s="119">
        <f t="shared" si="148"/>
        <v>366495</v>
      </c>
      <c r="P218" s="119">
        <f t="shared" si="148"/>
        <v>0</v>
      </c>
      <c r="Q218" s="119">
        <f t="shared" si="148"/>
        <v>366495</v>
      </c>
      <c r="R218" s="119">
        <f>SUM(R219:R222)</f>
        <v>0</v>
      </c>
      <c r="S218" s="119">
        <f>SUM(S219:S222)</f>
        <v>366495</v>
      </c>
      <c r="T218" s="119">
        <f>SUM(T219:T222)</f>
        <v>0</v>
      </c>
      <c r="U218" s="119">
        <f>SUM(U219:U222)</f>
        <v>366495</v>
      </c>
    </row>
    <row r="219" spans="1:21" ht="12.95" customHeight="1" x14ac:dyDescent="0.2">
      <c r="A219" s="37"/>
      <c r="B219" s="49" t="s">
        <v>56</v>
      </c>
      <c r="C219" s="70" t="s">
        <v>57</v>
      </c>
      <c r="D219" s="71"/>
      <c r="E219" s="59">
        <v>50537</v>
      </c>
      <c r="F219" s="59"/>
      <c r="G219" s="59">
        <f>SUM(E219:F219)</f>
        <v>50537</v>
      </c>
      <c r="H219" s="59"/>
      <c r="I219" s="59">
        <f>SUM(G219:H219)</f>
        <v>50537</v>
      </c>
      <c r="J219" s="59"/>
      <c r="K219" s="59">
        <f>SUM(I219:J219)</f>
        <v>50537</v>
      </c>
      <c r="L219" s="59"/>
      <c r="M219" s="59">
        <f>SUM(K219:L219)</f>
        <v>50537</v>
      </c>
      <c r="N219" s="59"/>
      <c r="O219" s="59">
        <f>SUM(M219:N219)</f>
        <v>50537</v>
      </c>
      <c r="P219" s="59"/>
      <c r="Q219" s="59">
        <f>SUM(O219:P219)</f>
        <v>50537</v>
      </c>
      <c r="R219" s="59"/>
      <c r="S219" s="59">
        <f>SUM(Q219:R219)</f>
        <v>50537</v>
      </c>
      <c r="T219" s="59"/>
      <c r="U219" s="59">
        <f>SUM(S219:T219)</f>
        <v>50537</v>
      </c>
    </row>
    <row r="220" spans="1:21" ht="12.95" customHeight="1" x14ac:dyDescent="0.2">
      <c r="A220" s="37"/>
      <c r="B220" s="50" t="s">
        <v>48</v>
      </c>
      <c r="C220" s="70" t="s">
        <v>49</v>
      </c>
      <c r="D220" s="71"/>
      <c r="E220" s="59">
        <v>315088</v>
      </c>
      <c r="F220" s="59"/>
      <c r="G220" s="59">
        <f>SUM(E220:F220)</f>
        <v>315088</v>
      </c>
      <c r="H220" s="59"/>
      <c r="I220" s="59">
        <f>SUM(G220:H220)</f>
        <v>315088</v>
      </c>
      <c r="J220" s="59"/>
      <c r="K220" s="59">
        <f>SUM(I220:J220)</f>
        <v>315088</v>
      </c>
      <c r="L220" s="59"/>
      <c r="M220" s="59">
        <f>SUM(K220:L220)</f>
        <v>315088</v>
      </c>
      <c r="N220" s="59"/>
      <c r="O220" s="59">
        <f>SUM(M220:N220)</f>
        <v>315088</v>
      </c>
      <c r="P220" s="59"/>
      <c r="Q220" s="59">
        <f>SUM(O220:P220)</f>
        <v>315088</v>
      </c>
      <c r="R220" s="59"/>
      <c r="S220" s="59">
        <f>SUM(Q220:R220)</f>
        <v>315088</v>
      </c>
      <c r="T220" s="59"/>
      <c r="U220" s="59">
        <f>SUM(S220:T220)</f>
        <v>315088</v>
      </c>
    </row>
    <row r="221" spans="1:21" ht="12.95" customHeight="1" x14ac:dyDescent="0.2">
      <c r="A221" s="37"/>
      <c r="B221" s="49" t="s">
        <v>42</v>
      </c>
      <c r="C221" s="70" t="s">
        <v>43</v>
      </c>
      <c r="D221" s="71"/>
      <c r="E221" s="59">
        <v>820</v>
      </c>
      <c r="F221" s="59"/>
      <c r="G221" s="59">
        <f>SUM(E221:F221)</f>
        <v>820</v>
      </c>
      <c r="H221" s="59"/>
      <c r="I221" s="59">
        <f>SUM(G221:H221)</f>
        <v>820</v>
      </c>
      <c r="J221" s="59"/>
      <c r="K221" s="59">
        <f>SUM(I221:J221)</f>
        <v>820</v>
      </c>
      <c r="L221" s="59"/>
      <c r="M221" s="59">
        <f>SUM(K221:L221)</f>
        <v>820</v>
      </c>
      <c r="N221" s="59"/>
      <c r="O221" s="59">
        <f>SUM(M221:N221)</f>
        <v>820</v>
      </c>
      <c r="P221" s="59"/>
      <c r="Q221" s="59">
        <f>SUM(O221:P221)</f>
        <v>820</v>
      </c>
      <c r="R221" s="59"/>
      <c r="S221" s="59">
        <f>SUM(Q221:R221)</f>
        <v>820</v>
      </c>
      <c r="T221" s="59"/>
      <c r="U221" s="59">
        <f>SUM(S221:T221)</f>
        <v>820</v>
      </c>
    </row>
    <row r="222" spans="1:21" ht="12.95" customHeight="1" x14ac:dyDescent="0.2">
      <c r="A222" s="37"/>
      <c r="B222" s="49" t="s">
        <v>7</v>
      </c>
      <c r="C222" s="70" t="s">
        <v>8</v>
      </c>
      <c r="D222" s="71"/>
      <c r="E222" s="59">
        <v>50</v>
      </c>
      <c r="F222" s="59"/>
      <c r="G222" s="59">
        <f>SUM(E222:F222)</f>
        <v>50</v>
      </c>
      <c r="H222" s="59"/>
      <c r="I222" s="59">
        <f>SUM(G222:H222)</f>
        <v>50</v>
      </c>
      <c r="J222" s="59"/>
      <c r="K222" s="59">
        <f>SUM(I222:J222)</f>
        <v>50</v>
      </c>
      <c r="L222" s="59"/>
      <c r="M222" s="59">
        <f>SUM(K222:L222)</f>
        <v>50</v>
      </c>
      <c r="N222" s="59"/>
      <c r="O222" s="59">
        <f>SUM(M222:N222)</f>
        <v>50</v>
      </c>
      <c r="P222" s="59"/>
      <c r="Q222" s="59">
        <f>SUM(O222:P222)</f>
        <v>50</v>
      </c>
      <c r="R222" s="59"/>
      <c r="S222" s="59">
        <f>SUM(Q222:R222)</f>
        <v>50</v>
      </c>
      <c r="T222" s="59"/>
      <c r="U222" s="59">
        <f>SUM(S222:T222)</f>
        <v>50</v>
      </c>
    </row>
    <row r="223" spans="1:21" ht="12.95" customHeight="1" x14ac:dyDescent="0.2">
      <c r="A223" s="77"/>
      <c r="B223" s="116" t="s">
        <v>135</v>
      </c>
      <c r="C223" s="117"/>
      <c r="D223" s="118">
        <v>85417</v>
      </c>
      <c r="E223" s="120">
        <f t="shared" ref="E223:K223" si="149">SUM(E224:E225)</f>
        <v>127800</v>
      </c>
      <c r="F223" s="120">
        <f t="shared" si="149"/>
        <v>0</v>
      </c>
      <c r="G223" s="120">
        <f t="shared" si="149"/>
        <v>127800</v>
      </c>
      <c r="H223" s="120">
        <f t="shared" si="149"/>
        <v>0</v>
      </c>
      <c r="I223" s="120">
        <f t="shared" si="149"/>
        <v>127800</v>
      </c>
      <c r="J223" s="120">
        <f t="shared" si="149"/>
        <v>0</v>
      </c>
      <c r="K223" s="120">
        <f t="shared" si="149"/>
        <v>127800</v>
      </c>
      <c r="L223" s="120">
        <f t="shared" ref="L223:Q223" si="150">SUM(L224:L225)</f>
        <v>0</v>
      </c>
      <c r="M223" s="120">
        <f t="shared" si="150"/>
        <v>127800</v>
      </c>
      <c r="N223" s="120">
        <f t="shared" si="150"/>
        <v>0</v>
      </c>
      <c r="O223" s="120">
        <f t="shared" si="150"/>
        <v>127800</v>
      </c>
      <c r="P223" s="120">
        <f t="shared" si="150"/>
        <v>0</v>
      </c>
      <c r="Q223" s="120">
        <f t="shared" si="150"/>
        <v>127800</v>
      </c>
      <c r="R223" s="120">
        <f>SUM(R224:R225)</f>
        <v>0</v>
      </c>
      <c r="S223" s="120">
        <f>SUM(S224:S225)</f>
        <v>127800</v>
      </c>
      <c r="T223" s="120">
        <f>SUM(T224:T225)</f>
        <v>7000</v>
      </c>
      <c r="U223" s="120">
        <f>SUM(U224:U225)</f>
        <v>134800</v>
      </c>
    </row>
    <row r="224" spans="1:21" x14ac:dyDescent="0.2">
      <c r="A224" s="37"/>
      <c r="B224" s="50" t="s">
        <v>48</v>
      </c>
      <c r="C224" s="70" t="s">
        <v>49</v>
      </c>
      <c r="D224" s="71"/>
      <c r="E224" s="59">
        <v>127800</v>
      </c>
      <c r="F224" s="59"/>
      <c r="G224" s="59">
        <f>SUM(E224:F224)</f>
        <v>127800</v>
      </c>
      <c r="H224" s="59"/>
      <c r="I224" s="59">
        <f>SUM(G224:H224)</f>
        <v>127800</v>
      </c>
      <c r="J224" s="59"/>
      <c r="K224" s="59">
        <f>SUM(I224:J224)</f>
        <v>127800</v>
      </c>
      <c r="L224" s="59"/>
      <c r="M224" s="59">
        <f>SUM(K224:L224)</f>
        <v>127800</v>
      </c>
      <c r="N224" s="59"/>
      <c r="O224" s="59">
        <f>SUM(M224:N224)</f>
        <v>127800</v>
      </c>
      <c r="P224" s="59"/>
      <c r="Q224" s="59">
        <f>SUM(O224:P224)</f>
        <v>127800</v>
      </c>
      <c r="R224" s="59"/>
      <c r="S224" s="59">
        <f>SUM(Q224:R224)</f>
        <v>127800</v>
      </c>
      <c r="T224" s="59"/>
      <c r="U224" s="59">
        <f>SUM(S224:T224)</f>
        <v>127800</v>
      </c>
    </row>
    <row r="225" spans="1:21" x14ac:dyDescent="0.2">
      <c r="A225" s="36"/>
      <c r="B225" s="47" t="s">
        <v>7</v>
      </c>
      <c r="C225" s="66" t="s">
        <v>8</v>
      </c>
      <c r="D225" s="67"/>
      <c r="E225" s="55"/>
      <c r="F225" s="55"/>
      <c r="G225" s="59">
        <f>SUM(E225:F225)</f>
        <v>0</v>
      </c>
      <c r="H225" s="55"/>
      <c r="I225" s="59">
        <f>SUM(G225:H225)</f>
        <v>0</v>
      </c>
      <c r="J225" s="55"/>
      <c r="K225" s="59">
        <f>SUM(I225:J225)</f>
        <v>0</v>
      </c>
      <c r="L225" s="55"/>
      <c r="M225" s="59">
        <f>SUM(K225:L225)</f>
        <v>0</v>
      </c>
      <c r="N225" s="55"/>
      <c r="O225" s="59">
        <f>SUM(M225:N225)</f>
        <v>0</v>
      </c>
      <c r="P225" s="55"/>
      <c r="Q225" s="59">
        <f>SUM(O225:P225)</f>
        <v>0</v>
      </c>
      <c r="R225" s="55"/>
      <c r="S225" s="59">
        <f>SUM(Q225:R225)</f>
        <v>0</v>
      </c>
      <c r="T225" s="55">
        <v>7000</v>
      </c>
      <c r="U225" s="59">
        <f>SUM(S225:T225)</f>
        <v>7000</v>
      </c>
    </row>
    <row r="226" spans="1:21" x14ac:dyDescent="0.2">
      <c r="A226" s="75"/>
      <c r="B226" s="110" t="s">
        <v>65</v>
      </c>
      <c r="C226" s="107"/>
      <c r="D226" s="109">
        <v>85495</v>
      </c>
      <c r="E226" s="105"/>
      <c r="F226" s="105"/>
      <c r="G226" s="120"/>
      <c r="H226" s="105"/>
      <c r="I226" s="120"/>
      <c r="J226" s="105"/>
      <c r="K226" s="120"/>
      <c r="L226" s="105"/>
      <c r="M226" s="120">
        <f t="shared" ref="M226:U226" si="151">SUM(M227)</f>
        <v>0</v>
      </c>
      <c r="N226" s="120">
        <f t="shared" si="151"/>
        <v>220000</v>
      </c>
      <c r="O226" s="120">
        <f t="shared" si="151"/>
        <v>220000</v>
      </c>
      <c r="P226" s="120">
        <f t="shared" si="151"/>
        <v>0</v>
      </c>
      <c r="Q226" s="120">
        <f t="shared" si="151"/>
        <v>220000</v>
      </c>
      <c r="R226" s="120">
        <f t="shared" si="151"/>
        <v>0</v>
      </c>
      <c r="S226" s="120">
        <f t="shared" si="151"/>
        <v>220000</v>
      </c>
      <c r="T226" s="120">
        <f t="shared" si="151"/>
        <v>0</v>
      </c>
      <c r="U226" s="120">
        <f t="shared" si="151"/>
        <v>220000</v>
      </c>
    </row>
    <row r="227" spans="1:21" x14ac:dyDescent="0.2">
      <c r="A227" s="36"/>
      <c r="B227" s="47" t="s">
        <v>101</v>
      </c>
      <c r="C227" s="66" t="s">
        <v>102</v>
      </c>
      <c r="D227" s="67"/>
      <c r="E227" s="55"/>
      <c r="F227" s="55"/>
      <c r="G227" s="59"/>
      <c r="H227" s="55"/>
      <c r="I227" s="59"/>
      <c r="J227" s="55"/>
      <c r="K227" s="59"/>
      <c r="L227" s="55"/>
      <c r="M227" s="59"/>
      <c r="N227" s="55">
        <v>220000</v>
      </c>
      <c r="O227" s="59">
        <f>SUM(M227:N227)</f>
        <v>220000</v>
      </c>
      <c r="P227" s="55"/>
      <c r="Q227" s="59">
        <f>SUM(O227:P227)</f>
        <v>220000</v>
      </c>
      <c r="R227" s="55"/>
      <c r="S227" s="59">
        <f>SUM(Q227:R227)</f>
        <v>220000</v>
      </c>
      <c r="T227" s="55"/>
      <c r="U227" s="59">
        <f>SUM(S227:T227)</f>
        <v>220000</v>
      </c>
    </row>
    <row r="228" spans="1:21" ht="12.95" customHeight="1" x14ac:dyDescent="0.2">
      <c r="A228" s="93">
        <v>900</v>
      </c>
      <c r="B228" s="94" t="s">
        <v>136</v>
      </c>
      <c r="C228" s="95"/>
      <c r="D228" s="96"/>
      <c r="E228" s="87">
        <f t="shared" ref="E228:T229" si="152">SUM(E229)</f>
        <v>200000</v>
      </c>
      <c r="F228" s="87">
        <f t="shared" si="152"/>
        <v>0</v>
      </c>
      <c r="G228" s="87">
        <f t="shared" si="152"/>
        <v>200000</v>
      </c>
      <c r="H228" s="87">
        <f t="shared" si="152"/>
        <v>0</v>
      </c>
      <c r="I228" s="87">
        <f t="shared" si="152"/>
        <v>200000</v>
      </c>
      <c r="J228" s="87">
        <f t="shared" si="152"/>
        <v>0</v>
      </c>
      <c r="K228" s="87">
        <f t="shared" si="152"/>
        <v>200000</v>
      </c>
      <c r="L228" s="87">
        <f t="shared" si="152"/>
        <v>0</v>
      </c>
      <c r="M228" s="87">
        <f t="shared" si="152"/>
        <v>200000</v>
      </c>
      <c r="N228" s="87">
        <f t="shared" si="152"/>
        <v>0</v>
      </c>
      <c r="O228" s="87">
        <f t="shared" si="152"/>
        <v>200000</v>
      </c>
      <c r="P228" s="87">
        <f t="shared" si="152"/>
        <v>0</v>
      </c>
      <c r="Q228" s="87">
        <f t="shared" si="152"/>
        <v>200000</v>
      </c>
      <c r="R228" s="87">
        <f t="shared" si="152"/>
        <v>0</v>
      </c>
      <c r="S228" s="87">
        <f t="shared" si="152"/>
        <v>200000</v>
      </c>
      <c r="T228" s="87">
        <f t="shared" si="152"/>
        <v>0</v>
      </c>
      <c r="U228" s="87">
        <f>SUM(U229)</f>
        <v>200000</v>
      </c>
    </row>
    <row r="229" spans="1:21" ht="12.95" customHeight="1" x14ac:dyDescent="0.2">
      <c r="A229" s="115"/>
      <c r="B229" s="116" t="s">
        <v>137</v>
      </c>
      <c r="C229" s="117"/>
      <c r="D229" s="118">
        <v>90019</v>
      </c>
      <c r="E229" s="120">
        <f t="shared" si="152"/>
        <v>200000</v>
      </c>
      <c r="F229" s="120">
        <f t="shared" si="152"/>
        <v>0</v>
      </c>
      <c r="G229" s="120">
        <f t="shared" si="152"/>
        <v>200000</v>
      </c>
      <c r="H229" s="120">
        <f t="shared" si="152"/>
        <v>0</v>
      </c>
      <c r="I229" s="120">
        <f t="shared" si="152"/>
        <v>200000</v>
      </c>
      <c r="J229" s="120">
        <f t="shared" si="152"/>
        <v>0</v>
      </c>
      <c r="K229" s="120">
        <f t="shared" si="152"/>
        <v>200000</v>
      </c>
      <c r="L229" s="120">
        <f t="shared" si="152"/>
        <v>0</v>
      </c>
      <c r="M229" s="120">
        <f t="shared" si="152"/>
        <v>200000</v>
      </c>
      <c r="N229" s="120">
        <f t="shared" si="152"/>
        <v>0</v>
      </c>
      <c r="O229" s="120">
        <f t="shared" si="152"/>
        <v>200000</v>
      </c>
      <c r="P229" s="120">
        <f t="shared" si="152"/>
        <v>0</v>
      </c>
      <c r="Q229" s="120">
        <f t="shared" si="152"/>
        <v>200000</v>
      </c>
      <c r="R229" s="120">
        <f t="shared" si="152"/>
        <v>0</v>
      </c>
      <c r="S229" s="120">
        <f t="shared" si="152"/>
        <v>200000</v>
      </c>
      <c r="T229" s="120">
        <f>SUM(T230)</f>
        <v>0</v>
      </c>
      <c r="U229" s="120">
        <f>SUM(U230)</f>
        <v>200000</v>
      </c>
    </row>
    <row r="230" spans="1:21" ht="12.95" customHeight="1" x14ac:dyDescent="0.2">
      <c r="A230" s="36"/>
      <c r="B230" s="47" t="s">
        <v>13</v>
      </c>
      <c r="C230" s="66" t="s">
        <v>14</v>
      </c>
      <c r="D230" s="67"/>
      <c r="E230" s="55">
        <v>200000</v>
      </c>
      <c r="F230" s="55"/>
      <c r="G230" s="55">
        <f>SUM(E230:F230)</f>
        <v>200000</v>
      </c>
      <c r="H230" s="55"/>
      <c r="I230" s="55">
        <f>SUM(G230:H230)</f>
        <v>200000</v>
      </c>
      <c r="J230" s="55"/>
      <c r="K230" s="55">
        <f>SUM(I230:J230)</f>
        <v>200000</v>
      </c>
      <c r="L230" s="55"/>
      <c r="M230" s="55">
        <f>SUM(K230:L230)</f>
        <v>200000</v>
      </c>
      <c r="N230" s="55"/>
      <c r="O230" s="55">
        <f>SUM(M230:N230)</f>
        <v>200000</v>
      </c>
      <c r="P230" s="55"/>
      <c r="Q230" s="55">
        <f>SUM(O230:P230)</f>
        <v>200000</v>
      </c>
      <c r="R230" s="55"/>
      <c r="S230" s="55">
        <f>SUM(Q230:R230)</f>
        <v>200000</v>
      </c>
      <c r="T230" s="55"/>
      <c r="U230" s="55">
        <f>SUM(S230:T230)</f>
        <v>200000</v>
      </c>
    </row>
    <row r="231" spans="1:21" ht="12.95" customHeight="1" x14ac:dyDescent="0.2">
      <c r="A231" s="97"/>
      <c r="B231" s="98" t="s">
        <v>138</v>
      </c>
      <c r="C231" s="99"/>
      <c r="D231" s="100"/>
      <c r="E231" s="89">
        <f t="shared" ref="E231:K231" si="153">E228+E207+E190+E150+E144+E101+E89+E81+E73+E61+E47+E39+E23+E20+E17+E14</f>
        <v>64505912</v>
      </c>
      <c r="F231" s="89">
        <f t="shared" si="153"/>
        <v>70005</v>
      </c>
      <c r="G231" s="89">
        <f t="shared" si="153"/>
        <v>64505912</v>
      </c>
      <c r="H231" s="89">
        <f t="shared" si="153"/>
        <v>619679</v>
      </c>
      <c r="I231" s="89">
        <f t="shared" si="153"/>
        <v>65253914</v>
      </c>
      <c r="J231" s="89">
        <f t="shared" si="153"/>
        <v>1161223</v>
      </c>
      <c r="K231" s="89">
        <f t="shared" si="153"/>
        <v>66415137</v>
      </c>
      <c r="L231" s="89">
        <f t="shared" ref="L231:Q231" si="154">L228+L207+L190+L150+L144+L101+L89+L81+L73+L61+L47+L39+L23+L20+L17+L14</f>
        <v>68756</v>
      </c>
      <c r="M231" s="89">
        <f t="shared" si="154"/>
        <v>66483893</v>
      </c>
      <c r="N231" s="89">
        <f t="shared" si="154"/>
        <v>2143598</v>
      </c>
      <c r="O231" s="89">
        <f t="shared" si="154"/>
        <v>68627491</v>
      </c>
      <c r="P231" s="89">
        <f t="shared" si="154"/>
        <v>-265041</v>
      </c>
      <c r="Q231" s="89">
        <f t="shared" si="154"/>
        <v>68362450</v>
      </c>
      <c r="R231" s="89">
        <f>R228+R207+R190+R150+R144+R101+R89+R81+R73+R61+R47+R39+R23+R20+R17+R14</f>
        <v>4500</v>
      </c>
      <c r="S231" s="89">
        <f>S228+S207+S190+S150+S144+S101+S89+S81+S73+S61+S47+S39+S23+S20+S17+S14</f>
        <v>68366950</v>
      </c>
      <c r="T231" s="89">
        <f>T228+T207+T190+T150+T144+T101+T89+T81+T73+T61+T47+T39+T23+T20+T17+T14</f>
        <v>-303790</v>
      </c>
      <c r="U231" s="89">
        <f>U228+U207+U190+U150+U144+U101+U89+U81+U73+U61+U47+U39+U23+U20+U17+U14</f>
        <v>68063160</v>
      </c>
    </row>
    <row r="232" spans="1:21" ht="12.95" customHeight="1" x14ac:dyDescent="0.2">
      <c r="A232" s="44"/>
      <c r="B232" s="52" t="s">
        <v>139</v>
      </c>
      <c r="C232" s="72"/>
      <c r="D232" s="73"/>
      <c r="E232" s="62">
        <f t="shared" ref="E232:K232" si="155">SUM(E234:E234)</f>
        <v>3406000</v>
      </c>
      <c r="F232" s="62">
        <f t="shared" si="155"/>
        <v>0</v>
      </c>
      <c r="G232" s="62">
        <f t="shared" si="155"/>
        <v>3406000</v>
      </c>
      <c r="H232" s="62">
        <f t="shared" si="155"/>
        <v>0</v>
      </c>
      <c r="I232" s="62">
        <f t="shared" si="155"/>
        <v>3406000</v>
      </c>
      <c r="J232" s="62">
        <f t="shared" si="155"/>
        <v>0</v>
      </c>
      <c r="K232" s="62">
        <f t="shared" si="155"/>
        <v>3406000</v>
      </c>
      <c r="L232" s="62">
        <f t="shared" ref="L232:Q232" si="156">SUM(L234:L234)</f>
        <v>0</v>
      </c>
      <c r="M232" s="62">
        <f t="shared" si="156"/>
        <v>3406000</v>
      </c>
      <c r="N232" s="62">
        <f t="shared" si="156"/>
        <v>0</v>
      </c>
      <c r="O232" s="62">
        <f t="shared" si="156"/>
        <v>3406000</v>
      </c>
      <c r="P232" s="62">
        <f t="shared" si="156"/>
        <v>0</v>
      </c>
      <c r="Q232" s="62">
        <f t="shared" si="156"/>
        <v>3406000</v>
      </c>
      <c r="R232" s="62">
        <f>SUM(R234:R234)</f>
        <v>0</v>
      </c>
      <c r="S232" s="62">
        <f>SUM(S234:S234)</f>
        <v>3406000</v>
      </c>
      <c r="T232" s="62">
        <f>SUM(T234:T234)</f>
        <v>0</v>
      </c>
      <c r="U232" s="62">
        <f>SUM(U234:U234)</f>
        <v>3406000</v>
      </c>
    </row>
    <row r="233" spans="1:21" ht="12.95" hidden="1" customHeight="1" x14ac:dyDescent="0.2">
      <c r="A233" s="44"/>
      <c r="B233" s="48" t="s">
        <v>140</v>
      </c>
      <c r="C233" s="74">
        <v>950</v>
      </c>
      <c r="D233" s="73"/>
      <c r="E233" s="62"/>
      <c r="F233" s="62"/>
      <c r="G233" s="132">
        <f>SUM(E233:F233)</f>
        <v>0</v>
      </c>
      <c r="H233" s="62"/>
      <c r="I233" s="132">
        <f>SUM(G233:H233)</f>
        <v>0</v>
      </c>
      <c r="J233" s="62"/>
      <c r="K233" s="132">
        <f>SUM(I233:J233)</f>
        <v>0</v>
      </c>
      <c r="L233" s="62"/>
      <c r="M233" s="132">
        <f>SUM(K233:L233)</f>
        <v>0</v>
      </c>
      <c r="N233" s="62"/>
      <c r="O233" s="132">
        <f>SUM(M233:N233)</f>
        <v>0</v>
      </c>
      <c r="P233" s="62"/>
      <c r="Q233" s="132">
        <f>SUM(O233:P233)</f>
        <v>0</v>
      </c>
      <c r="R233" s="62"/>
      <c r="S233" s="132">
        <f>SUM(Q233:R233)</f>
        <v>0</v>
      </c>
      <c r="T233" s="62"/>
      <c r="U233" s="132">
        <f>SUM(S233:T233)</f>
        <v>0</v>
      </c>
    </row>
    <row r="234" spans="1:21" ht="12.95" customHeight="1" x14ac:dyDescent="0.2">
      <c r="A234" s="44"/>
      <c r="B234" s="48" t="s">
        <v>141</v>
      </c>
      <c r="C234" s="74">
        <v>952</v>
      </c>
      <c r="D234" s="73"/>
      <c r="E234" s="56">
        <v>3406000</v>
      </c>
      <c r="F234" s="56"/>
      <c r="G234" s="132">
        <f>SUM(E234:F234)</f>
        <v>3406000</v>
      </c>
      <c r="H234" s="56"/>
      <c r="I234" s="132">
        <f>SUM(G234:H234)</f>
        <v>3406000</v>
      </c>
      <c r="J234" s="56"/>
      <c r="K234" s="132">
        <f>SUM(I234:J234)</f>
        <v>3406000</v>
      </c>
      <c r="L234" s="56"/>
      <c r="M234" s="132">
        <f>SUM(K234:L234)</f>
        <v>3406000</v>
      </c>
      <c r="N234" s="56"/>
      <c r="O234" s="132">
        <f>SUM(M234:N234)</f>
        <v>3406000</v>
      </c>
      <c r="P234" s="56"/>
      <c r="Q234" s="132">
        <f>SUM(O234:P234)</f>
        <v>3406000</v>
      </c>
      <c r="R234" s="56"/>
      <c r="S234" s="132">
        <f>SUM(Q234:R234)</f>
        <v>3406000</v>
      </c>
      <c r="T234" s="56"/>
      <c r="U234" s="132">
        <f>SUM(S234:T234)</f>
        <v>3406000</v>
      </c>
    </row>
    <row r="235" spans="1:21" ht="12.95" customHeight="1" thickBot="1" x14ac:dyDescent="0.25">
      <c r="A235" s="122"/>
      <c r="B235" s="123" t="s">
        <v>142</v>
      </c>
      <c r="C235" s="124"/>
      <c r="D235" s="125"/>
      <c r="E235" s="126">
        <f t="shared" ref="E235:K235" si="157">SUM(E231,E232)</f>
        <v>67911912</v>
      </c>
      <c r="F235" s="126">
        <f t="shared" si="157"/>
        <v>70005</v>
      </c>
      <c r="G235" s="126">
        <f t="shared" si="157"/>
        <v>67911912</v>
      </c>
      <c r="H235" s="126">
        <f t="shared" si="157"/>
        <v>619679</v>
      </c>
      <c r="I235" s="126">
        <f t="shared" si="157"/>
        <v>68659914</v>
      </c>
      <c r="J235" s="126">
        <f t="shared" si="157"/>
        <v>1161223</v>
      </c>
      <c r="K235" s="126">
        <f t="shared" si="157"/>
        <v>69821137</v>
      </c>
      <c r="L235" s="126">
        <f t="shared" ref="L235:Q235" si="158">SUM(L231,L232)</f>
        <v>68756</v>
      </c>
      <c r="M235" s="126">
        <f t="shared" si="158"/>
        <v>69889893</v>
      </c>
      <c r="N235" s="126">
        <f t="shared" si="158"/>
        <v>2143598</v>
      </c>
      <c r="O235" s="126">
        <f t="shared" si="158"/>
        <v>72033491</v>
      </c>
      <c r="P235" s="126">
        <f t="shared" si="158"/>
        <v>-265041</v>
      </c>
      <c r="Q235" s="126">
        <f t="shared" si="158"/>
        <v>71768450</v>
      </c>
      <c r="R235" s="126">
        <f>SUM(R231,R232)</f>
        <v>4500</v>
      </c>
      <c r="S235" s="126">
        <f>SUM(S231,S232)</f>
        <v>71772950</v>
      </c>
      <c r="T235" s="126">
        <f>SUM(T231,T232)</f>
        <v>-303790</v>
      </c>
      <c r="U235" s="126">
        <f>SUM(U231,U232)</f>
        <v>71469160</v>
      </c>
    </row>
    <row r="236" spans="1:21" x14ac:dyDescent="0.2">
      <c r="A236" s="9"/>
      <c r="B236" s="10"/>
      <c r="C236" s="11"/>
      <c r="D236" s="12"/>
      <c r="E236" s="13"/>
    </row>
    <row r="237" spans="1:21" x14ac:dyDescent="0.2">
      <c r="A237" s="14"/>
      <c r="B237" s="15"/>
      <c r="C237" s="16"/>
      <c r="D237" s="17"/>
      <c r="E237" s="14"/>
    </row>
    <row r="238" spans="1:21" x14ac:dyDescent="0.2">
      <c r="A238" s="14"/>
      <c r="B238" s="18"/>
      <c r="C238" s="16"/>
      <c r="D238" s="17"/>
      <c r="E238" s="14"/>
    </row>
    <row r="239" spans="1:21" x14ac:dyDescent="0.2">
      <c r="A239" s="14"/>
      <c r="B239" s="14"/>
      <c r="C239" s="14"/>
      <c r="D239" s="17"/>
      <c r="E239" s="14"/>
    </row>
    <row r="240" spans="1:21" x14ac:dyDescent="0.2">
      <c r="A240" s="14"/>
      <c r="B240" s="14"/>
      <c r="C240" s="14"/>
      <c r="D240" s="17"/>
      <c r="E240" s="14"/>
    </row>
    <row r="241" spans="1:5" x14ac:dyDescent="0.2">
      <c r="A241" s="14"/>
      <c r="B241" s="14"/>
      <c r="C241" s="14"/>
      <c r="D241" s="17"/>
      <c r="E241" s="14"/>
    </row>
    <row r="242" spans="1:5" x14ac:dyDescent="0.2">
      <c r="A242" s="14"/>
      <c r="B242" s="14"/>
      <c r="C242" s="14"/>
      <c r="D242" s="17"/>
      <c r="E242" s="14"/>
    </row>
    <row r="243" spans="1:5" x14ac:dyDescent="0.2">
      <c r="A243" s="14"/>
      <c r="B243" s="14"/>
      <c r="C243" s="14"/>
      <c r="D243" s="17"/>
      <c r="E243" s="14"/>
    </row>
    <row r="244" spans="1:5" x14ac:dyDescent="0.2">
      <c r="A244" s="14"/>
      <c r="B244" s="14"/>
      <c r="C244" s="14"/>
      <c r="D244" s="17"/>
      <c r="E244" s="14"/>
    </row>
    <row r="245" spans="1:5" x14ac:dyDescent="0.2">
      <c r="A245" s="14"/>
      <c r="B245" s="14"/>
      <c r="C245" s="14"/>
      <c r="D245" s="17"/>
      <c r="E245" s="14"/>
    </row>
    <row r="246" spans="1:5" x14ac:dyDescent="0.2">
      <c r="A246" s="14"/>
      <c r="B246" s="14"/>
      <c r="C246" s="14"/>
      <c r="D246" s="17"/>
      <c r="E246" s="14"/>
    </row>
    <row r="247" spans="1:5" x14ac:dyDescent="0.2">
      <c r="A247" s="14"/>
      <c r="B247" s="14"/>
      <c r="C247" s="14"/>
      <c r="D247" s="17"/>
      <c r="E247" s="14"/>
    </row>
    <row r="248" spans="1:5" x14ac:dyDescent="0.2">
      <c r="A248" s="14"/>
      <c r="B248" s="14"/>
      <c r="C248" s="14"/>
      <c r="D248" s="17"/>
      <c r="E248" s="14"/>
    </row>
    <row r="249" spans="1:5" x14ac:dyDescent="0.2">
      <c r="A249" s="14"/>
      <c r="B249" s="14"/>
      <c r="C249" s="14"/>
      <c r="D249" s="17"/>
      <c r="E249" s="14"/>
    </row>
    <row r="250" spans="1:5" x14ac:dyDescent="0.2">
      <c r="A250" s="14"/>
      <c r="B250" s="14"/>
      <c r="C250" s="14"/>
      <c r="D250" s="17"/>
      <c r="E250" s="14"/>
    </row>
    <row r="251" spans="1:5" x14ac:dyDescent="0.2">
      <c r="A251" s="14"/>
      <c r="B251" s="14"/>
      <c r="C251" s="14"/>
      <c r="D251" s="17"/>
      <c r="E251" s="14"/>
    </row>
    <row r="252" spans="1:5" x14ac:dyDescent="0.2">
      <c r="A252" s="14"/>
      <c r="B252" s="14"/>
      <c r="C252" s="14"/>
      <c r="D252" s="17"/>
      <c r="E252" s="14"/>
    </row>
    <row r="253" spans="1:5" x14ac:dyDescent="0.2">
      <c r="A253" s="14"/>
      <c r="B253" s="14"/>
      <c r="C253" s="14"/>
      <c r="D253" s="17"/>
      <c r="E253" s="14"/>
    </row>
    <row r="254" spans="1:5" x14ac:dyDescent="0.2">
      <c r="A254" s="14"/>
      <c r="B254" s="14"/>
      <c r="C254" s="14"/>
      <c r="D254" s="17"/>
      <c r="E254" s="14"/>
    </row>
    <row r="255" spans="1:5" x14ac:dyDescent="0.2">
      <c r="A255" s="14"/>
      <c r="B255" s="14"/>
      <c r="C255" s="14"/>
      <c r="D255" s="17"/>
      <c r="E255" s="14"/>
    </row>
    <row r="256" spans="1:5" x14ac:dyDescent="0.2">
      <c r="A256" s="14"/>
      <c r="B256" s="14"/>
      <c r="C256" s="14"/>
      <c r="D256" s="17"/>
      <c r="E256" s="14"/>
    </row>
    <row r="257" spans="1:5" x14ac:dyDescent="0.2">
      <c r="A257" s="14"/>
      <c r="B257" s="14"/>
      <c r="C257" s="14"/>
      <c r="D257" s="17"/>
      <c r="E257" s="14"/>
    </row>
    <row r="258" spans="1:5" x14ac:dyDescent="0.2">
      <c r="A258" s="14"/>
      <c r="B258" s="14"/>
      <c r="C258" s="14"/>
      <c r="D258" s="17"/>
      <c r="E258" s="14"/>
    </row>
    <row r="259" spans="1:5" x14ac:dyDescent="0.2">
      <c r="A259" s="14"/>
      <c r="B259" s="14"/>
      <c r="C259" s="14"/>
      <c r="D259" s="17"/>
      <c r="E259" s="14"/>
    </row>
    <row r="260" spans="1:5" x14ac:dyDescent="0.2">
      <c r="A260" s="14"/>
      <c r="B260" s="14"/>
      <c r="C260" s="14"/>
      <c r="D260" s="17"/>
      <c r="E260" s="14"/>
    </row>
    <row r="261" spans="1:5" x14ac:dyDescent="0.2">
      <c r="A261" s="14"/>
      <c r="B261" s="14"/>
      <c r="C261" s="14"/>
      <c r="D261" s="17"/>
      <c r="E261" s="14"/>
    </row>
    <row r="262" spans="1:5" x14ac:dyDescent="0.2">
      <c r="A262" s="14"/>
      <c r="B262" s="14"/>
      <c r="C262" s="14"/>
      <c r="D262" s="17"/>
      <c r="E262" s="14"/>
    </row>
    <row r="263" spans="1:5" x14ac:dyDescent="0.2">
      <c r="A263" s="14"/>
      <c r="B263" s="14"/>
      <c r="C263" s="14"/>
      <c r="D263" s="17"/>
      <c r="E263" s="14"/>
    </row>
    <row r="264" spans="1:5" x14ac:dyDescent="0.2">
      <c r="A264" s="14"/>
      <c r="B264" s="14"/>
      <c r="C264" s="14"/>
      <c r="D264" s="17"/>
      <c r="E264" s="14"/>
    </row>
    <row r="265" spans="1:5" x14ac:dyDescent="0.2">
      <c r="A265" s="14"/>
      <c r="B265" s="14"/>
      <c r="C265" s="14"/>
      <c r="D265" s="17"/>
      <c r="E265" s="14"/>
    </row>
    <row r="266" spans="1:5" x14ac:dyDescent="0.2">
      <c r="A266" s="14"/>
      <c r="B266" s="14"/>
      <c r="C266" s="14"/>
      <c r="D266" s="17"/>
      <c r="E266" s="14"/>
    </row>
    <row r="267" spans="1:5" x14ac:dyDescent="0.2">
      <c r="A267" s="14"/>
      <c r="B267" s="14"/>
      <c r="C267" s="14"/>
      <c r="D267" s="17"/>
      <c r="E267" s="14"/>
    </row>
    <row r="268" spans="1:5" x14ac:dyDescent="0.2">
      <c r="A268" s="14"/>
      <c r="B268" s="14"/>
      <c r="C268" s="14"/>
      <c r="D268" s="17"/>
      <c r="E268" s="14"/>
    </row>
    <row r="269" spans="1:5" x14ac:dyDescent="0.2">
      <c r="A269" s="14"/>
      <c r="B269" s="14"/>
      <c r="C269" s="14"/>
      <c r="D269" s="17"/>
      <c r="E269" s="14"/>
    </row>
    <row r="270" spans="1:5" x14ac:dyDescent="0.2">
      <c r="A270" s="14"/>
      <c r="B270" s="14"/>
      <c r="C270" s="14"/>
      <c r="D270" s="17"/>
      <c r="E270" s="14"/>
    </row>
    <row r="271" spans="1:5" x14ac:dyDescent="0.2">
      <c r="A271" s="14"/>
      <c r="B271" s="14"/>
      <c r="C271" s="14"/>
      <c r="D271" s="17"/>
      <c r="E271" s="14"/>
    </row>
    <row r="272" spans="1:5" x14ac:dyDescent="0.2">
      <c r="A272" s="14"/>
      <c r="B272" s="14"/>
      <c r="C272" s="14"/>
      <c r="D272" s="17"/>
      <c r="E272" s="14"/>
    </row>
    <row r="273" spans="1:5" x14ac:dyDescent="0.2">
      <c r="A273" s="14"/>
      <c r="B273" s="14"/>
      <c r="C273" s="14"/>
      <c r="D273" s="17"/>
      <c r="E273" s="14"/>
    </row>
    <row r="274" spans="1:5" x14ac:dyDescent="0.2">
      <c r="A274" s="14"/>
      <c r="B274" s="14"/>
      <c r="C274" s="14"/>
      <c r="D274" s="17"/>
      <c r="E274" s="14"/>
    </row>
    <row r="275" spans="1:5" x14ac:dyDescent="0.2">
      <c r="A275" s="14"/>
      <c r="B275" s="14"/>
      <c r="C275" s="14"/>
      <c r="D275" s="17"/>
      <c r="E275" s="14"/>
    </row>
    <row r="276" spans="1:5" x14ac:dyDescent="0.2">
      <c r="A276" s="14"/>
      <c r="B276" s="14"/>
      <c r="C276" s="14"/>
      <c r="D276" s="17"/>
      <c r="E276" s="14"/>
    </row>
    <row r="277" spans="1:5" x14ac:dyDescent="0.2">
      <c r="A277" s="14"/>
      <c r="B277" s="14"/>
      <c r="C277" s="14"/>
      <c r="D277" s="17"/>
      <c r="E277" s="14"/>
    </row>
    <row r="278" spans="1:5" x14ac:dyDescent="0.2">
      <c r="A278" s="14"/>
      <c r="B278" s="14"/>
      <c r="C278" s="14"/>
      <c r="D278" s="17"/>
      <c r="E278" s="14"/>
    </row>
    <row r="279" spans="1:5" x14ac:dyDescent="0.2">
      <c r="A279" s="14"/>
      <c r="B279" s="14"/>
      <c r="C279" s="14"/>
      <c r="D279" s="17"/>
      <c r="E279" s="14"/>
    </row>
    <row r="280" spans="1:5" x14ac:dyDescent="0.2">
      <c r="A280" s="14"/>
      <c r="B280" s="14"/>
      <c r="C280" s="14"/>
      <c r="D280" s="17"/>
      <c r="E280" s="14"/>
    </row>
    <row r="281" spans="1:5" x14ac:dyDescent="0.2">
      <c r="A281" s="14"/>
      <c r="B281" s="14"/>
      <c r="C281" s="14"/>
      <c r="D281" s="17"/>
      <c r="E281" s="14"/>
    </row>
    <row r="282" spans="1:5" x14ac:dyDescent="0.2">
      <c r="A282" s="14"/>
      <c r="B282" s="14"/>
      <c r="C282" s="14"/>
      <c r="D282" s="17"/>
      <c r="E282" s="14"/>
    </row>
    <row r="283" spans="1:5" x14ac:dyDescent="0.2">
      <c r="A283" s="14"/>
      <c r="B283" s="14"/>
      <c r="C283" s="14"/>
      <c r="D283" s="17"/>
      <c r="E283" s="14"/>
    </row>
    <row r="284" spans="1:5" x14ac:dyDescent="0.2">
      <c r="A284" s="14"/>
      <c r="B284" s="14"/>
      <c r="C284" s="14"/>
      <c r="D284" s="17"/>
      <c r="E284" s="14"/>
    </row>
    <row r="285" spans="1:5" x14ac:dyDescent="0.2">
      <c r="A285" s="14"/>
      <c r="B285" s="14"/>
      <c r="C285" s="14"/>
      <c r="D285" s="17"/>
      <c r="E285" s="14"/>
    </row>
    <row r="286" spans="1:5" x14ac:dyDescent="0.2">
      <c r="A286" s="14"/>
      <c r="B286" s="14"/>
      <c r="C286" s="14"/>
      <c r="D286" s="17"/>
      <c r="E286" s="14"/>
    </row>
    <row r="287" spans="1:5" x14ac:dyDescent="0.2">
      <c r="A287" s="14"/>
      <c r="B287" s="14"/>
      <c r="C287" s="14"/>
      <c r="D287" s="17"/>
      <c r="E287" s="14"/>
    </row>
    <row r="288" spans="1:5" x14ac:dyDescent="0.2">
      <c r="A288" s="14"/>
      <c r="B288" s="14"/>
      <c r="C288" s="14"/>
      <c r="D288" s="17"/>
      <c r="E288" s="14"/>
    </row>
    <row r="289" spans="1:5" x14ac:dyDescent="0.2">
      <c r="A289" s="14"/>
      <c r="B289" s="14"/>
      <c r="C289" s="14"/>
      <c r="D289" s="17"/>
      <c r="E289" s="14"/>
    </row>
    <row r="290" spans="1:5" x14ac:dyDescent="0.2">
      <c r="A290" s="14"/>
      <c r="B290" s="14"/>
      <c r="C290" s="14"/>
      <c r="D290" s="17"/>
      <c r="E290" s="14"/>
    </row>
    <row r="291" spans="1:5" x14ac:dyDescent="0.2">
      <c r="A291" s="14"/>
      <c r="B291" s="14"/>
      <c r="C291" s="14"/>
      <c r="D291" s="17"/>
      <c r="E291" s="14"/>
    </row>
    <row r="292" spans="1:5" x14ac:dyDescent="0.2">
      <c r="A292" s="14"/>
      <c r="B292" s="14"/>
      <c r="C292" s="14"/>
      <c r="D292" s="17"/>
      <c r="E292" s="14"/>
    </row>
    <row r="293" spans="1:5" x14ac:dyDescent="0.2">
      <c r="A293" s="14"/>
      <c r="B293" s="14"/>
      <c r="C293" s="14"/>
      <c r="D293" s="17"/>
      <c r="E293" s="14"/>
    </row>
    <row r="294" spans="1:5" x14ac:dyDescent="0.2">
      <c r="A294" s="14"/>
      <c r="B294" s="14"/>
      <c r="C294" s="14"/>
      <c r="D294" s="17"/>
      <c r="E294" s="14"/>
    </row>
    <row r="295" spans="1:5" x14ac:dyDescent="0.2">
      <c r="A295" s="14"/>
      <c r="B295" s="14"/>
      <c r="C295" s="14"/>
      <c r="D295" s="17"/>
      <c r="E295" s="14"/>
    </row>
    <row r="296" spans="1:5" x14ac:dyDescent="0.2">
      <c r="A296" s="14"/>
      <c r="B296" s="14"/>
      <c r="C296" s="14"/>
      <c r="D296" s="17"/>
      <c r="E296" s="14"/>
    </row>
    <row r="297" spans="1:5" x14ac:dyDescent="0.2">
      <c r="A297" s="14"/>
      <c r="B297" s="14"/>
      <c r="C297" s="14"/>
      <c r="D297" s="17"/>
      <c r="E297" s="14"/>
    </row>
    <row r="298" spans="1:5" x14ac:dyDescent="0.2">
      <c r="A298" s="14"/>
      <c r="B298" s="14"/>
      <c r="C298" s="14"/>
      <c r="D298" s="17"/>
      <c r="E298" s="14"/>
    </row>
    <row r="299" spans="1:5" x14ac:dyDescent="0.2">
      <c r="A299" s="14"/>
      <c r="B299" s="14"/>
      <c r="C299" s="14"/>
      <c r="D299" s="17"/>
      <c r="E299" s="14"/>
    </row>
    <row r="300" spans="1:5" x14ac:dyDescent="0.2">
      <c r="A300" s="14"/>
      <c r="B300" s="14"/>
      <c r="C300" s="14"/>
      <c r="D300" s="17"/>
      <c r="E300" s="14"/>
    </row>
    <row r="301" spans="1:5" x14ac:dyDescent="0.2">
      <c r="A301" s="14"/>
      <c r="B301" s="14"/>
      <c r="C301" s="14"/>
      <c r="D301" s="17"/>
      <c r="E301" s="14"/>
    </row>
    <row r="302" spans="1:5" x14ac:dyDescent="0.2">
      <c r="A302" s="14"/>
      <c r="B302" s="14"/>
      <c r="C302" s="14"/>
      <c r="D302" s="17"/>
      <c r="E302" s="14"/>
    </row>
    <row r="303" spans="1:5" x14ac:dyDescent="0.2">
      <c r="A303" s="14"/>
      <c r="B303" s="14"/>
      <c r="C303" s="14"/>
      <c r="D303" s="17"/>
      <c r="E303" s="14"/>
    </row>
    <row r="304" spans="1:5" x14ac:dyDescent="0.2">
      <c r="A304" s="14"/>
      <c r="B304" s="14"/>
      <c r="C304" s="14"/>
      <c r="D304" s="17"/>
      <c r="E304" s="14"/>
    </row>
    <row r="305" spans="1:5" x14ac:dyDescent="0.2">
      <c r="A305" s="14"/>
      <c r="B305" s="14"/>
      <c r="C305" s="14"/>
      <c r="D305" s="17"/>
      <c r="E305" s="14"/>
    </row>
    <row r="306" spans="1:5" x14ac:dyDescent="0.2">
      <c r="A306" s="14"/>
      <c r="B306" s="14"/>
      <c r="C306" s="14"/>
      <c r="D306" s="17"/>
      <c r="E306" s="14"/>
    </row>
    <row r="307" spans="1:5" x14ac:dyDescent="0.2">
      <c r="A307" s="14"/>
      <c r="B307" s="14"/>
      <c r="C307" s="14"/>
      <c r="D307" s="17"/>
      <c r="E307" s="14"/>
    </row>
    <row r="308" spans="1:5" x14ac:dyDescent="0.2">
      <c r="A308" s="14"/>
      <c r="B308" s="14"/>
      <c r="C308" s="14"/>
      <c r="D308" s="17"/>
      <c r="E308" s="14"/>
    </row>
    <row r="309" spans="1:5" x14ac:dyDescent="0.2">
      <c r="A309" s="14"/>
      <c r="B309" s="14"/>
      <c r="C309" s="14"/>
      <c r="D309" s="17"/>
      <c r="E309" s="14"/>
    </row>
    <row r="310" spans="1:5" x14ac:dyDescent="0.2">
      <c r="A310" s="14"/>
      <c r="B310" s="14"/>
      <c r="C310" s="14"/>
      <c r="D310" s="17"/>
      <c r="E310" s="14"/>
    </row>
    <row r="311" spans="1:5" x14ac:dyDescent="0.2">
      <c r="A311" s="14"/>
      <c r="B311" s="14"/>
      <c r="C311" s="14"/>
      <c r="D311" s="17"/>
      <c r="E311" s="14"/>
    </row>
    <row r="312" spans="1:5" x14ac:dyDescent="0.2">
      <c r="A312" s="14"/>
      <c r="B312" s="14"/>
      <c r="C312" s="14"/>
      <c r="D312" s="17"/>
      <c r="E312" s="14"/>
    </row>
    <row r="313" spans="1:5" x14ac:dyDescent="0.2">
      <c r="A313" s="14"/>
      <c r="B313" s="14"/>
      <c r="C313" s="14"/>
      <c r="D313" s="17"/>
      <c r="E313" s="14"/>
    </row>
    <row r="314" spans="1:5" x14ac:dyDescent="0.2">
      <c r="A314" s="14"/>
      <c r="B314" s="14"/>
      <c r="C314" s="14"/>
      <c r="D314" s="17"/>
      <c r="E314" s="14"/>
    </row>
    <row r="315" spans="1:5" x14ac:dyDescent="0.2">
      <c r="A315" s="14"/>
      <c r="B315" s="14"/>
      <c r="C315" s="14"/>
      <c r="D315" s="17"/>
      <c r="E315" s="14"/>
    </row>
    <row r="316" spans="1:5" x14ac:dyDescent="0.2">
      <c r="A316" s="14"/>
      <c r="B316" s="14"/>
      <c r="C316" s="14"/>
      <c r="D316" s="17"/>
      <c r="E316" s="14"/>
    </row>
    <row r="317" spans="1:5" x14ac:dyDescent="0.2">
      <c r="A317" s="14"/>
      <c r="B317" s="14"/>
      <c r="C317" s="14"/>
      <c r="D317" s="17"/>
      <c r="E317" s="14"/>
    </row>
    <row r="318" spans="1:5" x14ac:dyDescent="0.2">
      <c r="A318" s="14"/>
      <c r="B318" s="14"/>
      <c r="C318" s="14"/>
      <c r="D318" s="17"/>
      <c r="E318" s="14"/>
    </row>
    <row r="319" spans="1:5" x14ac:dyDescent="0.2">
      <c r="A319" s="14"/>
      <c r="B319" s="14"/>
      <c r="C319" s="14"/>
      <c r="D319" s="17"/>
      <c r="E319" s="14"/>
    </row>
    <row r="320" spans="1:5" x14ac:dyDescent="0.2">
      <c r="A320" s="14"/>
      <c r="B320" s="14"/>
      <c r="C320" s="14"/>
      <c r="D320" s="17"/>
      <c r="E320" s="14"/>
    </row>
    <row r="321" spans="1:5" x14ac:dyDescent="0.2">
      <c r="A321" s="14"/>
      <c r="B321" s="14"/>
      <c r="C321" s="14"/>
      <c r="D321" s="17"/>
      <c r="E321" s="14"/>
    </row>
    <row r="322" spans="1:5" x14ac:dyDescent="0.2">
      <c r="A322" s="14"/>
      <c r="B322" s="14"/>
      <c r="C322" s="14"/>
      <c r="D322" s="17"/>
      <c r="E322" s="14"/>
    </row>
    <row r="323" spans="1:5" x14ac:dyDescent="0.2">
      <c r="A323" s="14"/>
      <c r="B323" s="14"/>
      <c r="C323" s="14"/>
      <c r="D323" s="17"/>
      <c r="E323" s="14"/>
    </row>
    <row r="324" spans="1:5" x14ac:dyDescent="0.2">
      <c r="A324" s="14"/>
      <c r="B324" s="14"/>
      <c r="C324" s="14"/>
      <c r="D324" s="17"/>
      <c r="E324" s="14"/>
    </row>
    <row r="325" spans="1:5" x14ac:dyDescent="0.2">
      <c r="A325" s="14"/>
      <c r="B325" s="14"/>
      <c r="C325" s="14"/>
      <c r="D325" s="17"/>
      <c r="E325" s="14"/>
    </row>
    <row r="326" spans="1:5" x14ac:dyDescent="0.2">
      <c r="A326" s="14"/>
      <c r="B326" s="14"/>
      <c r="C326" s="14"/>
      <c r="D326" s="17"/>
      <c r="E326" s="14"/>
    </row>
    <row r="327" spans="1:5" x14ac:dyDescent="0.2">
      <c r="A327" s="14"/>
      <c r="B327" s="14"/>
      <c r="C327" s="14"/>
      <c r="D327" s="17"/>
      <c r="E327" s="14"/>
    </row>
    <row r="328" spans="1:5" x14ac:dyDescent="0.2">
      <c r="A328" s="14"/>
      <c r="B328" s="14"/>
      <c r="C328" s="14"/>
      <c r="D328" s="17"/>
      <c r="E328" s="14"/>
    </row>
    <row r="329" spans="1:5" x14ac:dyDescent="0.2">
      <c r="A329" s="14"/>
      <c r="B329" s="14"/>
      <c r="C329" s="14"/>
      <c r="D329" s="17"/>
      <c r="E329" s="14"/>
    </row>
    <row r="330" spans="1:5" x14ac:dyDescent="0.2">
      <c r="A330" s="14"/>
      <c r="B330" s="14"/>
      <c r="C330" s="14"/>
      <c r="D330" s="17"/>
      <c r="E330" s="14"/>
    </row>
    <row r="331" spans="1:5" x14ac:dyDescent="0.2">
      <c r="A331" s="14"/>
      <c r="B331" s="14"/>
      <c r="C331" s="14"/>
      <c r="D331" s="17"/>
      <c r="E331" s="14"/>
    </row>
    <row r="332" spans="1:5" x14ac:dyDescent="0.2">
      <c r="A332" s="14"/>
      <c r="B332" s="14"/>
      <c r="C332" s="14"/>
      <c r="D332" s="17"/>
      <c r="E332" s="14"/>
    </row>
    <row r="333" spans="1:5" x14ac:dyDescent="0.2">
      <c r="A333" s="14"/>
      <c r="B333" s="14"/>
      <c r="C333" s="14"/>
      <c r="D333" s="17"/>
      <c r="E333" s="14"/>
    </row>
    <row r="334" spans="1:5" x14ac:dyDescent="0.2">
      <c r="A334" s="14"/>
      <c r="B334" s="14"/>
      <c r="C334" s="14"/>
      <c r="D334" s="17"/>
      <c r="E334" s="14"/>
    </row>
    <row r="335" spans="1:5" x14ac:dyDescent="0.2">
      <c r="A335" s="14"/>
      <c r="B335" s="14"/>
      <c r="C335" s="14"/>
      <c r="D335" s="17"/>
      <c r="E335" s="14"/>
    </row>
    <row r="336" spans="1:5" x14ac:dyDescent="0.2">
      <c r="A336" s="14"/>
      <c r="B336" s="14"/>
      <c r="C336" s="14"/>
      <c r="D336" s="17"/>
      <c r="E336" s="14"/>
    </row>
    <row r="337" spans="1:5" x14ac:dyDescent="0.2">
      <c r="A337" s="14"/>
      <c r="B337" s="14"/>
      <c r="C337" s="14"/>
      <c r="D337" s="17"/>
      <c r="E337" s="14"/>
    </row>
    <row r="338" spans="1:5" x14ac:dyDescent="0.2">
      <c r="A338" s="14"/>
      <c r="B338" s="14"/>
      <c r="C338" s="14"/>
      <c r="D338" s="17"/>
      <c r="E338" s="14"/>
    </row>
    <row r="339" spans="1:5" x14ac:dyDescent="0.2">
      <c r="A339" s="14"/>
      <c r="B339" s="14"/>
      <c r="C339" s="14"/>
      <c r="D339" s="17"/>
      <c r="E339" s="14"/>
    </row>
    <row r="340" spans="1:5" x14ac:dyDescent="0.2">
      <c r="A340" s="14"/>
      <c r="B340" s="14"/>
      <c r="C340" s="14"/>
      <c r="D340" s="17"/>
      <c r="E340" s="14"/>
    </row>
    <row r="341" spans="1:5" x14ac:dyDescent="0.2">
      <c r="A341" s="14"/>
      <c r="B341" s="14"/>
      <c r="C341" s="14"/>
      <c r="D341" s="17"/>
      <c r="E341" s="14"/>
    </row>
    <row r="342" spans="1:5" x14ac:dyDescent="0.2">
      <c r="A342" s="14"/>
      <c r="B342" s="14"/>
      <c r="C342" s="14"/>
      <c r="D342" s="17"/>
      <c r="E342" s="14"/>
    </row>
    <row r="343" spans="1:5" x14ac:dyDescent="0.2">
      <c r="A343" s="14"/>
      <c r="B343" s="14"/>
      <c r="C343" s="14"/>
      <c r="D343" s="17"/>
      <c r="E343" s="14"/>
    </row>
    <row r="344" spans="1:5" x14ac:dyDescent="0.2">
      <c r="A344" s="14"/>
      <c r="B344" s="14"/>
      <c r="C344" s="14"/>
      <c r="D344" s="17"/>
      <c r="E344" s="14"/>
    </row>
    <row r="345" spans="1:5" x14ac:dyDescent="0.2">
      <c r="A345" s="14"/>
      <c r="B345" s="14"/>
      <c r="C345" s="14"/>
      <c r="D345" s="17"/>
      <c r="E345" s="14"/>
    </row>
    <row r="346" spans="1:5" x14ac:dyDescent="0.2">
      <c r="A346" s="14"/>
      <c r="B346" s="14"/>
      <c r="C346" s="14"/>
      <c r="D346" s="17"/>
      <c r="E346" s="14"/>
    </row>
    <row r="347" spans="1:5" x14ac:dyDescent="0.2">
      <c r="A347" s="14"/>
      <c r="B347" s="14"/>
      <c r="C347" s="14"/>
      <c r="D347" s="17"/>
      <c r="E347" s="14"/>
    </row>
    <row r="348" spans="1:5" x14ac:dyDescent="0.2">
      <c r="A348" s="14"/>
      <c r="B348" s="14"/>
      <c r="C348" s="14"/>
      <c r="D348" s="17"/>
      <c r="E348" s="14"/>
    </row>
    <row r="349" spans="1:5" x14ac:dyDescent="0.2">
      <c r="A349" s="14"/>
      <c r="B349" s="14"/>
      <c r="C349" s="14"/>
      <c r="D349" s="17"/>
      <c r="E349" s="14"/>
    </row>
    <row r="350" spans="1:5" x14ac:dyDescent="0.2">
      <c r="A350" s="14"/>
      <c r="B350" s="14"/>
      <c r="C350" s="14"/>
      <c r="D350" s="17"/>
      <c r="E350" s="14"/>
    </row>
    <row r="351" spans="1:5" x14ac:dyDescent="0.2">
      <c r="A351" s="14"/>
      <c r="B351" s="14"/>
      <c r="C351" s="14"/>
      <c r="D351" s="17"/>
      <c r="E351" s="14"/>
    </row>
    <row r="352" spans="1:5" x14ac:dyDescent="0.2">
      <c r="A352" s="14"/>
      <c r="B352" s="14"/>
      <c r="C352" s="14"/>
      <c r="D352" s="17"/>
      <c r="E352" s="14"/>
    </row>
    <row r="353" spans="1:5" x14ac:dyDescent="0.2">
      <c r="A353" s="14"/>
      <c r="B353" s="14"/>
      <c r="C353" s="14"/>
      <c r="D353" s="17"/>
      <c r="E353" s="14"/>
    </row>
    <row r="354" spans="1:5" x14ac:dyDescent="0.2">
      <c r="A354" s="14"/>
      <c r="B354" s="14"/>
      <c r="C354" s="14"/>
      <c r="D354" s="17"/>
      <c r="E354" s="14"/>
    </row>
    <row r="355" spans="1:5" x14ac:dyDescent="0.2">
      <c r="A355" s="14"/>
      <c r="B355" s="14"/>
      <c r="C355" s="14"/>
      <c r="D355" s="17"/>
      <c r="E355" s="14"/>
    </row>
    <row r="356" spans="1:5" x14ac:dyDescent="0.2">
      <c r="A356" s="14"/>
      <c r="B356" s="14"/>
      <c r="C356" s="14"/>
      <c r="D356" s="17"/>
      <c r="E356" s="14"/>
    </row>
    <row r="357" spans="1:5" x14ac:dyDescent="0.2">
      <c r="A357" s="14"/>
      <c r="B357" s="14"/>
      <c r="C357" s="14"/>
      <c r="D357" s="17"/>
      <c r="E357" s="14"/>
    </row>
    <row r="358" spans="1:5" x14ac:dyDescent="0.2">
      <c r="A358" s="14"/>
      <c r="B358" s="14"/>
      <c r="C358" s="14"/>
      <c r="D358" s="17"/>
      <c r="E358" s="14"/>
    </row>
    <row r="359" spans="1:5" x14ac:dyDescent="0.2">
      <c r="A359" s="14"/>
      <c r="B359" s="14"/>
      <c r="C359" s="14"/>
      <c r="D359" s="17"/>
      <c r="E359" s="14"/>
    </row>
    <row r="360" spans="1:5" x14ac:dyDescent="0.2">
      <c r="A360" s="14"/>
      <c r="B360" s="14"/>
      <c r="C360" s="14"/>
      <c r="D360" s="17"/>
      <c r="E360" s="14"/>
    </row>
    <row r="361" spans="1:5" x14ac:dyDescent="0.2">
      <c r="A361" s="14"/>
      <c r="B361" s="14"/>
      <c r="C361" s="14"/>
      <c r="D361" s="17"/>
      <c r="E361" s="14"/>
    </row>
    <row r="362" spans="1:5" x14ac:dyDescent="0.2">
      <c r="A362" s="14"/>
      <c r="B362" s="14"/>
      <c r="C362" s="14"/>
      <c r="D362" s="17"/>
      <c r="E362" s="14"/>
    </row>
    <row r="363" spans="1:5" x14ac:dyDescent="0.2">
      <c r="A363" s="14"/>
      <c r="B363" s="14"/>
      <c r="C363" s="14"/>
      <c r="D363" s="17"/>
      <c r="E363" s="14"/>
    </row>
  </sheetData>
  <sheetProtection selectLockedCells="1" selectUnlockedCells="1"/>
  <mergeCells count="21">
    <mergeCell ref="T5:T12"/>
    <mergeCell ref="U5:U12"/>
    <mergeCell ref="K5:K12"/>
    <mergeCell ref="H5:H12"/>
    <mergeCell ref="I5:I12"/>
    <mergeCell ref="N5:N12"/>
    <mergeCell ref="O5:O12"/>
    <mergeCell ref="G5:G12"/>
    <mergeCell ref="L5:L12"/>
    <mergeCell ref="M5:M12"/>
    <mergeCell ref="J5:J12"/>
    <mergeCell ref="R5:R12"/>
    <mergeCell ref="S5:S12"/>
    <mergeCell ref="P5:P12"/>
    <mergeCell ref="Q5:Q12"/>
    <mergeCell ref="A5:A12"/>
    <mergeCell ref="B5:B12"/>
    <mergeCell ref="C5:C12"/>
    <mergeCell ref="D5:D12"/>
    <mergeCell ref="E5:E12"/>
    <mergeCell ref="F5:F12"/>
  </mergeCells>
  <pageMargins left="0" right="0" top="0" bottom="0" header="0.51180555555555551" footer="0.51180555555555551"/>
  <pageSetup paperSize="9" orientation="portrait" useFirstPageNumber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6"/>
  <sheetViews>
    <sheetView tabSelected="1" zoomScale="115" zoomScaleNormal="115" workbookViewId="0">
      <selection activeCell="L1" sqref="L1"/>
    </sheetView>
  </sheetViews>
  <sheetFormatPr defaultColWidth="11.7109375" defaultRowHeight="12.75" x14ac:dyDescent="0.2"/>
  <cols>
    <col min="1" max="1" width="4" style="19" customWidth="1"/>
    <col min="2" max="2" width="7.85546875" style="19" customWidth="1"/>
    <col min="3" max="3" width="4.28515625" style="19" customWidth="1"/>
    <col min="4" max="4" width="26.85546875" customWidth="1"/>
    <col min="5" max="5" width="21.42578125" hidden="1" customWidth="1"/>
    <col min="6" max="6" width="23.140625" hidden="1" customWidth="1"/>
    <col min="7" max="7" width="12.140625" hidden="1" customWidth="1"/>
    <col min="8" max="8" width="10.42578125" hidden="1" customWidth="1"/>
    <col min="9" max="9" width="0" hidden="1" customWidth="1"/>
    <col min="10" max="10" width="23.140625" hidden="1" customWidth="1"/>
  </cols>
  <sheetData>
    <row r="1" spans="1:11" x14ac:dyDescent="0.2">
      <c r="K1" t="s">
        <v>316</v>
      </c>
    </row>
    <row r="2" spans="1:11" x14ac:dyDescent="0.2">
      <c r="K2" s="221" t="s">
        <v>304</v>
      </c>
    </row>
    <row r="3" spans="1:11" x14ac:dyDescent="0.2">
      <c r="A3" s="5"/>
      <c r="K3" t="s">
        <v>317</v>
      </c>
    </row>
    <row r="4" spans="1:11" x14ac:dyDescent="0.2">
      <c r="A4" s="5"/>
      <c r="D4" s="20"/>
      <c r="E4" s="21"/>
    </row>
    <row r="5" spans="1:11" ht="15.75" customHeight="1" thickBot="1" x14ac:dyDescent="0.25">
      <c r="A5" s="294" t="s">
        <v>309</v>
      </c>
      <c r="B5" s="294"/>
      <c r="C5" s="294"/>
      <c r="D5" s="294"/>
      <c r="E5" s="294"/>
      <c r="F5" s="294"/>
      <c r="G5" s="294"/>
    </row>
    <row r="6" spans="1:11" ht="12.95" customHeight="1" thickBot="1" x14ac:dyDescent="0.25">
      <c r="A6" s="301" t="s">
        <v>0</v>
      </c>
      <c r="B6" s="301" t="s">
        <v>3</v>
      </c>
      <c r="C6" s="301" t="s">
        <v>143</v>
      </c>
      <c r="D6" s="305" t="s">
        <v>144</v>
      </c>
      <c r="E6" s="289" t="s">
        <v>308</v>
      </c>
      <c r="F6" s="289" t="s">
        <v>269</v>
      </c>
      <c r="G6" s="289" t="s">
        <v>310</v>
      </c>
      <c r="H6" s="289" t="s">
        <v>269</v>
      </c>
      <c r="I6" s="289" t="s">
        <v>312</v>
      </c>
      <c r="J6" s="289" t="s">
        <v>269</v>
      </c>
      <c r="K6" s="289" t="s">
        <v>314</v>
      </c>
    </row>
    <row r="7" spans="1:11" ht="12.95" customHeight="1" thickBot="1" x14ac:dyDescent="0.25">
      <c r="A7" s="301"/>
      <c r="B7" s="301"/>
      <c r="C7" s="301"/>
      <c r="D7" s="305"/>
      <c r="E7" s="290"/>
      <c r="F7" s="290"/>
      <c r="G7" s="290"/>
      <c r="H7" s="290"/>
      <c r="I7" s="290"/>
      <c r="J7" s="290"/>
      <c r="K7" s="290"/>
    </row>
    <row r="8" spans="1:11" ht="12.95" customHeight="1" thickBot="1" x14ac:dyDescent="0.25">
      <c r="A8" s="302"/>
      <c r="B8" s="302"/>
      <c r="C8" s="302"/>
      <c r="D8" s="306"/>
      <c r="E8" s="291"/>
      <c r="F8" s="291"/>
      <c r="G8" s="291"/>
      <c r="H8" s="291"/>
      <c r="I8" s="291"/>
      <c r="J8" s="291"/>
      <c r="K8" s="291"/>
    </row>
    <row r="9" spans="1:11" ht="12.95" customHeight="1" thickBot="1" x14ac:dyDescent="0.25">
      <c r="A9" s="158">
        <v>1</v>
      </c>
      <c r="B9" s="153">
        <v>2</v>
      </c>
      <c r="C9" s="153">
        <v>3</v>
      </c>
      <c r="D9" s="159">
        <v>4</v>
      </c>
      <c r="E9" s="153">
        <v>5</v>
      </c>
      <c r="F9" s="153">
        <v>5</v>
      </c>
      <c r="G9" s="153">
        <v>5</v>
      </c>
      <c r="H9" s="153">
        <v>5</v>
      </c>
      <c r="I9" s="153">
        <v>5</v>
      </c>
      <c r="J9" s="153">
        <v>5</v>
      </c>
      <c r="K9" s="153">
        <v>5</v>
      </c>
    </row>
    <row r="10" spans="1:11" ht="12.75" customHeight="1" x14ac:dyDescent="0.2">
      <c r="A10" s="160" t="s">
        <v>257</v>
      </c>
      <c r="B10" s="205"/>
      <c r="C10" s="182"/>
      <c r="D10" s="183" t="s">
        <v>4</v>
      </c>
      <c r="E10" s="226">
        <f t="shared" ref="E10:K12" si="0">SUM(E11)</f>
        <v>15500</v>
      </c>
      <c r="F10" s="226">
        <f t="shared" si="0"/>
        <v>0</v>
      </c>
      <c r="G10" s="226">
        <f t="shared" si="0"/>
        <v>15500</v>
      </c>
      <c r="H10" s="226">
        <f t="shared" si="0"/>
        <v>0</v>
      </c>
      <c r="I10" s="226">
        <f t="shared" si="0"/>
        <v>15500</v>
      </c>
      <c r="J10" s="226">
        <f t="shared" si="0"/>
        <v>0</v>
      </c>
      <c r="K10" s="226">
        <f t="shared" si="0"/>
        <v>15500</v>
      </c>
    </row>
    <row r="11" spans="1:11" ht="12.95" customHeight="1" x14ac:dyDescent="0.2">
      <c r="A11" s="161"/>
      <c r="B11" s="206" t="s">
        <v>6</v>
      </c>
      <c r="C11" s="154"/>
      <c r="D11" s="184" t="s">
        <v>65</v>
      </c>
      <c r="E11" s="227">
        <f t="shared" si="0"/>
        <v>15500</v>
      </c>
      <c r="F11" s="227">
        <f t="shared" si="0"/>
        <v>0</v>
      </c>
      <c r="G11" s="227">
        <f t="shared" si="0"/>
        <v>15500</v>
      </c>
      <c r="H11" s="227">
        <f t="shared" si="0"/>
        <v>0</v>
      </c>
      <c r="I11" s="227">
        <f t="shared" si="0"/>
        <v>15500</v>
      </c>
      <c r="J11" s="227">
        <f t="shared" si="0"/>
        <v>0</v>
      </c>
      <c r="K11" s="227">
        <f t="shared" si="0"/>
        <v>15500</v>
      </c>
    </row>
    <row r="12" spans="1:11" s="127" customFormat="1" ht="22.5" customHeight="1" x14ac:dyDescent="0.2">
      <c r="A12" s="162"/>
      <c r="B12" s="207"/>
      <c r="C12" s="295" t="s">
        <v>294</v>
      </c>
      <c r="D12" s="296"/>
      <c r="E12" s="228">
        <f t="shared" si="0"/>
        <v>15500</v>
      </c>
      <c r="F12" s="228">
        <f t="shared" si="0"/>
        <v>0</v>
      </c>
      <c r="G12" s="228">
        <f t="shared" si="0"/>
        <v>15500</v>
      </c>
      <c r="H12" s="228">
        <f t="shared" si="0"/>
        <v>0</v>
      </c>
      <c r="I12" s="228">
        <f t="shared" si="0"/>
        <v>15500</v>
      </c>
      <c r="J12" s="228">
        <f t="shared" si="0"/>
        <v>0</v>
      </c>
      <c r="K12" s="228">
        <f t="shared" si="0"/>
        <v>15500</v>
      </c>
    </row>
    <row r="13" spans="1:11" ht="12.95" customHeight="1" x14ac:dyDescent="0.2">
      <c r="A13" s="163"/>
      <c r="B13" s="157"/>
      <c r="C13" s="144">
        <v>4300</v>
      </c>
      <c r="D13" s="185" t="s">
        <v>145</v>
      </c>
      <c r="E13" s="229">
        <v>15500</v>
      </c>
      <c r="F13" s="229"/>
      <c r="G13" s="229">
        <f>SUM(E13:F13)</f>
        <v>15500</v>
      </c>
      <c r="H13" s="229"/>
      <c r="I13" s="229">
        <f>SUM(G13:H13)</f>
        <v>15500</v>
      </c>
      <c r="J13" s="229"/>
      <c r="K13" s="229">
        <f>SUM(I13:J13)</f>
        <v>15500</v>
      </c>
    </row>
    <row r="14" spans="1:11" ht="12.95" customHeight="1" x14ac:dyDescent="0.2">
      <c r="A14" s="164" t="s">
        <v>258</v>
      </c>
      <c r="B14" s="208"/>
      <c r="C14" s="155"/>
      <c r="D14" s="186" t="s">
        <v>9</v>
      </c>
      <c r="E14" s="230">
        <f t="shared" ref="E14:K14" si="1">SUM(E15+E18+E21)</f>
        <v>328400</v>
      </c>
      <c r="F14" s="230">
        <f t="shared" si="1"/>
        <v>0</v>
      </c>
      <c r="G14" s="230">
        <f t="shared" si="1"/>
        <v>328400</v>
      </c>
      <c r="H14" s="230">
        <f t="shared" si="1"/>
        <v>0</v>
      </c>
      <c r="I14" s="230">
        <f t="shared" si="1"/>
        <v>328400</v>
      </c>
      <c r="J14" s="230">
        <f t="shared" si="1"/>
        <v>2400</v>
      </c>
      <c r="K14" s="230">
        <f t="shared" si="1"/>
        <v>330800</v>
      </c>
    </row>
    <row r="15" spans="1:11" ht="12.95" customHeight="1" x14ac:dyDescent="0.2">
      <c r="A15" s="165"/>
      <c r="B15" s="209" t="s">
        <v>146</v>
      </c>
      <c r="C15" s="148"/>
      <c r="D15" s="187" t="s">
        <v>147</v>
      </c>
      <c r="E15" s="231">
        <f t="shared" ref="E15:K16" si="2">SUM(E16)</f>
        <v>3000</v>
      </c>
      <c r="F15" s="231">
        <f t="shared" si="2"/>
        <v>0</v>
      </c>
      <c r="G15" s="231">
        <f t="shared" si="2"/>
        <v>3000</v>
      </c>
      <c r="H15" s="231">
        <f t="shared" si="2"/>
        <v>0</v>
      </c>
      <c r="I15" s="231">
        <f t="shared" si="2"/>
        <v>3000</v>
      </c>
      <c r="J15" s="231">
        <f t="shared" si="2"/>
        <v>0</v>
      </c>
      <c r="K15" s="231">
        <f t="shared" si="2"/>
        <v>3000</v>
      </c>
    </row>
    <row r="16" spans="1:11" s="127" customFormat="1" ht="22.5" customHeight="1" x14ac:dyDescent="0.2">
      <c r="A16" s="162"/>
      <c r="B16" s="207"/>
      <c r="C16" s="295" t="s">
        <v>294</v>
      </c>
      <c r="D16" s="296"/>
      <c r="E16" s="232">
        <f t="shared" si="2"/>
        <v>3000</v>
      </c>
      <c r="F16" s="232">
        <f t="shared" si="2"/>
        <v>0</v>
      </c>
      <c r="G16" s="232">
        <f t="shared" si="2"/>
        <v>3000</v>
      </c>
      <c r="H16" s="232">
        <f t="shared" si="2"/>
        <v>0</v>
      </c>
      <c r="I16" s="232">
        <f t="shared" si="2"/>
        <v>3000</v>
      </c>
      <c r="J16" s="232">
        <f t="shared" si="2"/>
        <v>0</v>
      </c>
      <c r="K16" s="232">
        <f t="shared" si="2"/>
        <v>3000</v>
      </c>
    </row>
    <row r="17" spans="1:11" ht="12.95" customHeight="1" x14ac:dyDescent="0.2">
      <c r="A17" s="166"/>
      <c r="B17" s="172"/>
      <c r="C17" s="144">
        <v>4300</v>
      </c>
      <c r="D17" s="185" t="s">
        <v>145</v>
      </c>
      <c r="E17" s="233">
        <v>3000</v>
      </c>
      <c r="F17" s="233"/>
      <c r="G17" s="233">
        <f>SUM(E17:F17)</f>
        <v>3000</v>
      </c>
      <c r="H17" s="233"/>
      <c r="I17" s="233">
        <f>SUM(G17:H17)</f>
        <v>3000</v>
      </c>
      <c r="J17" s="233"/>
      <c r="K17" s="233">
        <f>SUM(I17:J17)</f>
        <v>3000</v>
      </c>
    </row>
    <row r="18" spans="1:11" ht="11.25" customHeight="1" x14ac:dyDescent="0.2">
      <c r="A18" s="165"/>
      <c r="B18" s="209" t="s">
        <v>148</v>
      </c>
      <c r="C18" s="148"/>
      <c r="D18" s="187" t="s">
        <v>149</v>
      </c>
      <c r="E18" s="231">
        <f t="shared" ref="E18:K19" si="3">SUM(E19)</f>
        <v>46400</v>
      </c>
      <c r="F18" s="231">
        <f t="shared" si="3"/>
        <v>0</v>
      </c>
      <c r="G18" s="231">
        <f t="shared" si="3"/>
        <v>46400</v>
      </c>
      <c r="H18" s="231">
        <f t="shared" si="3"/>
        <v>0</v>
      </c>
      <c r="I18" s="231">
        <f t="shared" si="3"/>
        <v>46400</v>
      </c>
      <c r="J18" s="231">
        <f t="shared" si="3"/>
        <v>2400</v>
      </c>
      <c r="K18" s="231">
        <f t="shared" si="3"/>
        <v>48800</v>
      </c>
    </row>
    <row r="19" spans="1:11" s="127" customFormat="1" ht="21.75" customHeight="1" x14ac:dyDescent="0.2">
      <c r="A19" s="162"/>
      <c r="B19" s="207"/>
      <c r="C19" s="295" t="s">
        <v>294</v>
      </c>
      <c r="D19" s="296"/>
      <c r="E19" s="232">
        <f t="shared" si="3"/>
        <v>46400</v>
      </c>
      <c r="F19" s="232">
        <f t="shared" si="3"/>
        <v>0</v>
      </c>
      <c r="G19" s="232">
        <f t="shared" si="3"/>
        <v>46400</v>
      </c>
      <c r="H19" s="232">
        <f t="shared" si="3"/>
        <v>0</v>
      </c>
      <c r="I19" s="232">
        <f t="shared" si="3"/>
        <v>46400</v>
      </c>
      <c r="J19" s="232">
        <f t="shared" si="3"/>
        <v>2400</v>
      </c>
      <c r="K19" s="232">
        <f t="shared" si="3"/>
        <v>48800</v>
      </c>
    </row>
    <row r="20" spans="1:11" ht="12.95" customHeight="1" x14ac:dyDescent="0.2">
      <c r="A20" s="166"/>
      <c r="B20" s="172"/>
      <c r="C20" s="144">
        <v>4300</v>
      </c>
      <c r="D20" s="185" t="s">
        <v>145</v>
      </c>
      <c r="E20" s="233">
        <v>46400</v>
      </c>
      <c r="F20" s="233"/>
      <c r="G20" s="233">
        <f>SUM(E20:F20)</f>
        <v>46400</v>
      </c>
      <c r="H20" s="233"/>
      <c r="I20" s="233">
        <f>SUM(G20:H20)</f>
        <v>46400</v>
      </c>
      <c r="J20" s="233">
        <v>2400</v>
      </c>
      <c r="K20" s="233">
        <f>SUM(I20:J20)</f>
        <v>48800</v>
      </c>
    </row>
    <row r="21" spans="1:11" ht="12.95" customHeight="1" x14ac:dyDescent="0.2">
      <c r="A21" s="167"/>
      <c r="B21" s="210" t="s">
        <v>10</v>
      </c>
      <c r="C21" s="146"/>
      <c r="D21" s="188" t="s">
        <v>65</v>
      </c>
      <c r="E21" s="234">
        <f t="shared" ref="E21:K21" si="4">SUM(E22+E24)</f>
        <v>279000</v>
      </c>
      <c r="F21" s="234">
        <f t="shared" si="4"/>
        <v>0</v>
      </c>
      <c r="G21" s="234">
        <f t="shared" si="4"/>
        <v>279000</v>
      </c>
      <c r="H21" s="234">
        <f t="shared" si="4"/>
        <v>0</v>
      </c>
      <c r="I21" s="234">
        <f t="shared" si="4"/>
        <v>279000</v>
      </c>
      <c r="J21" s="234">
        <f t="shared" si="4"/>
        <v>0</v>
      </c>
      <c r="K21" s="234">
        <f t="shared" si="4"/>
        <v>279000</v>
      </c>
    </row>
    <row r="22" spans="1:11" s="127" customFormat="1" ht="11.25" x14ac:dyDescent="0.2">
      <c r="A22" s="168"/>
      <c r="B22" s="152"/>
      <c r="C22" s="299" t="s">
        <v>150</v>
      </c>
      <c r="D22" s="300"/>
      <c r="E22" s="228">
        <f t="shared" ref="E22:K22" si="5">SUM(E23)</f>
        <v>240000</v>
      </c>
      <c r="F22" s="228">
        <f t="shared" si="5"/>
        <v>0</v>
      </c>
      <c r="G22" s="228">
        <f t="shared" si="5"/>
        <v>240000</v>
      </c>
      <c r="H22" s="228">
        <f t="shared" si="5"/>
        <v>0</v>
      </c>
      <c r="I22" s="228">
        <f t="shared" si="5"/>
        <v>240000</v>
      </c>
      <c r="J22" s="228">
        <f t="shared" si="5"/>
        <v>0</v>
      </c>
      <c r="K22" s="228">
        <f t="shared" si="5"/>
        <v>240000</v>
      </c>
    </row>
    <row r="23" spans="1:11" ht="12.95" customHeight="1" x14ac:dyDescent="0.2">
      <c r="A23" s="157"/>
      <c r="B23" s="163"/>
      <c r="C23" s="144">
        <v>3030</v>
      </c>
      <c r="D23" s="185" t="s">
        <v>151</v>
      </c>
      <c r="E23" s="229">
        <v>240000</v>
      </c>
      <c r="F23" s="229"/>
      <c r="G23" s="229">
        <f>SUM(E23:F23)</f>
        <v>240000</v>
      </c>
      <c r="H23" s="229"/>
      <c r="I23" s="229">
        <f>SUM(G23:H23)</f>
        <v>240000</v>
      </c>
      <c r="J23" s="229"/>
      <c r="K23" s="229">
        <f>SUM(I23:J23)</f>
        <v>240000</v>
      </c>
    </row>
    <row r="24" spans="1:11" ht="25.5" customHeight="1" x14ac:dyDescent="0.2">
      <c r="A24" s="157"/>
      <c r="B24" s="163"/>
      <c r="C24" s="295" t="s">
        <v>294</v>
      </c>
      <c r="D24" s="296"/>
      <c r="E24" s="235">
        <f t="shared" ref="E24:K24" si="6">SUM(E25)</f>
        <v>39000</v>
      </c>
      <c r="F24" s="235">
        <f t="shared" si="6"/>
        <v>0</v>
      </c>
      <c r="G24" s="235">
        <f t="shared" si="6"/>
        <v>39000</v>
      </c>
      <c r="H24" s="235">
        <f t="shared" si="6"/>
        <v>0</v>
      </c>
      <c r="I24" s="235">
        <f t="shared" si="6"/>
        <v>39000</v>
      </c>
      <c r="J24" s="235">
        <f t="shared" si="6"/>
        <v>0</v>
      </c>
      <c r="K24" s="235">
        <f t="shared" si="6"/>
        <v>39000</v>
      </c>
    </row>
    <row r="25" spans="1:11" ht="12.95" customHeight="1" x14ac:dyDescent="0.2">
      <c r="A25" s="157"/>
      <c r="B25" s="163"/>
      <c r="C25" s="144">
        <v>4300</v>
      </c>
      <c r="D25" s="185" t="s">
        <v>145</v>
      </c>
      <c r="E25" s="229">
        <v>39000</v>
      </c>
      <c r="F25" s="229"/>
      <c r="G25" s="229">
        <f>SUM(E25:F25)</f>
        <v>39000</v>
      </c>
      <c r="H25" s="229"/>
      <c r="I25" s="229">
        <f>SUM(G25:H25)</f>
        <v>39000</v>
      </c>
      <c r="J25" s="229"/>
      <c r="K25" s="229">
        <f>SUM(I25:J25)</f>
        <v>39000</v>
      </c>
    </row>
    <row r="26" spans="1:11" ht="12.95" customHeight="1" x14ac:dyDescent="0.2">
      <c r="A26" s="169">
        <v>600</v>
      </c>
      <c r="B26" s="170"/>
      <c r="C26" s="143"/>
      <c r="D26" s="189" t="s">
        <v>15</v>
      </c>
      <c r="E26" s="236">
        <f t="shared" ref="E26:K26" si="7">SUM(E27+E40)</f>
        <v>5998250</v>
      </c>
      <c r="F26" s="236">
        <f t="shared" si="7"/>
        <v>1068269</v>
      </c>
      <c r="G26" s="236">
        <f t="shared" si="7"/>
        <v>7066519</v>
      </c>
      <c r="H26" s="236">
        <f t="shared" si="7"/>
        <v>-21342</v>
      </c>
      <c r="I26" s="236">
        <f t="shared" si="7"/>
        <v>7045177</v>
      </c>
      <c r="J26" s="236">
        <f t="shared" si="7"/>
        <v>-424501</v>
      </c>
      <c r="K26" s="236">
        <f t="shared" si="7"/>
        <v>6620676</v>
      </c>
    </row>
    <row r="27" spans="1:11" x14ac:dyDescent="0.2">
      <c r="A27" s="167"/>
      <c r="B27" s="167">
        <v>60014</v>
      </c>
      <c r="C27" s="146"/>
      <c r="D27" s="188" t="s">
        <v>16</v>
      </c>
      <c r="E27" s="234">
        <f t="shared" ref="E27:K27" si="8">SUM(E28+E34+E36)</f>
        <v>5248250</v>
      </c>
      <c r="F27" s="234">
        <f t="shared" si="8"/>
        <v>1068269</v>
      </c>
      <c r="G27" s="234">
        <f t="shared" si="8"/>
        <v>6316519</v>
      </c>
      <c r="H27" s="234">
        <f t="shared" si="8"/>
        <v>-21342</v>
      </c>
      <c r="I27" s="234">
        <f t="shared" si="8"/>
        <v>6295177</v>
      </c>
      <c r="J27" s="234">
        <f t="shared" si="8"/>
        <v>-424501</v>
      </c>
      <c r="K27" s="234">
        <f t="shared" si="8"/>
        <v>5870676</v>
      </c>
    </row>
    <row r="28" spans="1:11" s="127" customFormat="1" ht="21.75" customHeight="1" x14ac:dyDescent="0.2">
      <c r="A28" s="168"/>
      <c r="B28" s="207"/>
      <c r="C28" s="295" t="s">
        <v>294</v>
      </c>
      <c r="D28" s="296"/>
      <c r="E28" s="232">
        <f t="shared" ref="E28:K28" si="9">SUM(E29:E33)</f>
        <v>782000</v>
      </c>
      <c r="F28" s="232">
        <f t="shared" si="9"/>
        <v>530000</v>
      </c>
      <c r="G28" s="232">
        <f t="shared" si="9"/>
        <v>1312000</v>
      </c>
      <c r="H28" s="232">
        <f t="shared" si="9"/>
        <v>0</v>
      </c>
      <c r="I28" s="232">
        <f t="shared" si="9"/>
        <v>1312000</v>
      </c>
      <c r="J28" s="232">
        <f t="shared" si="9"/>
        <v>0</v>
      </c>
      <c r="K28" s="232">
        <f t="shared" si="9"/>
        <v>1312000</v>
      </c>
    </row>
    <row r="29" spans="1:11" ht="12.95" customHeight="1" x14ac:dyDescent="0.2">
      <c r="A29" s="157"/>
      <c r="B29" s="172"/>
      <c r="C29" s="145">
        <v>4210</v>
      </c>
      <c r="D29" s="190" t="s">
        <v>154</v>
      </c>
      <c r="E29" s="233">
        <v>10000</v>
      </c>
      <c r="F29" s="233"/>
      <c r="G29" s="233">
        <f>SUM(E29:F29)</f>
        <v>10000</v>
      </c>
      <c r="H29" s="233">
        <f>40000</f>
        <v>40000</v>
      </c>
      <c r="I29" s="233">
        <f>SUM(G29:H29)</f>
        <v>50000</v>
      </c>
      <c r="J29" s="233"/>
      <c r="K29" s="233">
        <f>SUM(I29:J29)</f>
        <v>50000</v>
      </c>
    </row>
    <row r="30" spans="1:11" ht="12.95" customHeight="1" x14ac:dyDescent="0.2">
      <c r="A30" s="157"/>
      <c r="B30" s="172"/>
      <c r="C30" s="145">
        <v>4260</v>
      </c>
      <c r="D30" s="191" t="s">
        <v>155</v>
      </c>
      <c r="E30" s="233">
        <v>26000</v>
      </c>
      <c r="F30" s="233"/>
      <c r="G30" s="233">
        <f>SUM(E30:F30)</f>
        <v>26000</v>
      </c>
      <c r="H30" s="233"/>
      <c r="I30" s="233">
        <f>SUM(G30:H30)</f>
        <v>26000</v>
      </c>
      <c r="J30" s="233"/>
      <c r="K30" s="233">
        <f>SUM(I30:J30)</f>
        <v>26000</v>
      </c>
    </row>
    <row r="31" spans="1:11" ht="12.95" customHeight="1" x14ac:dyDescent="0.2">
      <c r="A31" s="157"/>
      <c r="B31" s="172"/>
      <c r="C31" s="145">
        <v>4270</v>
      </c>
      <c r="D31" s="191" t="s">
        <v>156</v>
      </c>
      <c r="E31" s="233">
        <v>53000</v>
      </c>
      <c r="F31" s="233">
        <v>400000</v>
      </c>
      <c r="G31" s="233">
        <f>SUM(E31:F31)</f>
        <v>453000</v>
      </c>
      <c r="H31" s="233"/>
      <c r="I31" s="233">
        <f>SUM(G31:H31)</f>
        <v>453000</v>
      </c>
      <c r="J31" s="233"/>
      <c r="K31" s="233">
        <f>SUM(I31:J31)</f>
        <v>453000</v>
      </c>
    </row>
    <row r="32" spans="1:11" ht="12.95" customHeight="1" x14ac:dyDescent="0.2">
      <c r="A32" s="157"/>
      <c r="B32" s="172"/>
      <c r="C32" s="145">
        <v>4300</v>
      </c>
      <c r="D32" s="191" t="s">
        <v>145</v>
      </c>
      <c r="E32" s="233">
        <v>650000</v>
      </c>
      <c r="F32" s="233">
        <v>130000</v>
      </c>
      <c r="G32" s="233">
        <f>SUM(E32:F32)</f>
        <v>780000</v>
      </c>
      <c r="H32" s="233">
        <f>-40000</f>
        <v>-40000</v>
      </c>
      <c r="I32" s="233">
        <f>SUM(G32:H32)</f>
        <v>740000</v>
      </c>
      <c r="J32" s="233"/>
      <c r="K32" s="233">
        <f>SUM(I32:J32)</f>
        <v>740000</v>
      </c>
    </row>
    <row r="33" spans="1:11" ht="12.95" customHeight="1" x14ac:dyDescent="0.2">
      <c r="A33" s="157"/>
      <c r="B33" s="172"/>
      <c r="C33" s="145">
        <v>4430</v>
      </c>
      <c r="D33" s="191" t="s">
        <v>157</v>
      </c>
      <c r="E33" s="233">
        <v>43000</v>
      </c>
      <c r="F33" s="233"/>
      <c r="G33" s="233">
        <f>SUM(E33:F33)</f>
        <v>43000</v>
      </c>
      <c r="H33" s="233"/>
      <c r="I33" s="233">
        <f>SUM(G33:H33)</f>
        <v>43000</v>
      </c>
      <c r="J33" s="233"/>
      <c r="K33" s="233">
        <f>SUM(I33:J33)</f>
        <v>43000</v>
      </c>
    </row>
    <row r="34" spans="1:11" ht="12.95" customHeight="1" x14ac:dyDescent="0.2">
      <c r="A34" s="157"/>
      <c r="B34" s="211"/>
      <c r="C34" s="319" t="s">
        <v>167</v>
      </c>
      <c r="D34" s="320"/>
      <c r="E34" s="237">
        <f t="shared" ref="E34:K34" si="10">SUM(E35)</f>
        <v>18000</v>
      </c>
      <c r="F34" s="237">
        <f t="shared" si="10"/>
        <v>0</v>
      </c>
      <c r="G34" s="237">
        <f t="shared" si="10"/>
        <v>18000</v>
      </c>
      <c r="H34" s="237">
        <f t="shared" si="10"/>
        <v>0</v>
      </c>
      <c r="I34" s="237">
        <f t="shared" si="10"/>
        <v>18000</v>
      </c>
      <c r="J34" s="237">
        <f t="shared" si="10"/>
        <v>0</v>
      </c>
      <c r="K34" s="237">
        <f t="shared" si="10"/>
        <v>18000</v>
      </c>
    </row>
    <row r="35" spans="1:11" ht="12.95" customHeight="1" x14ac:dyDescent="0.2">
      <c r="A35" s="157"/>
      <c r="B35" s="172"/>
      <c r="C35" s="145">
        <v>2310</v>
      </c>
      <c r="D35" s="191" t="s">
        <v>161</v>
      </c>
      <c r="E35" s="233">
        <v>18000</v>
      </c>
      <c r="F35" s="233"/>
      <c r="G35" s="233">
        <f>SUM(E35:F35)</f>
        <v>18000</v>
      </c>
      <c r="H35" s="233"/>
      <c r="I35" s="233">
        <f>SUM(G35:H35)</f>
        <v>18000</v>
      </c>
      <c r="J35" s="233"/>
      <c r="K35" s="233">
        <f>SUM(I35:J35)</f>
        <v>18000</v>
      </c>
    </row>
    <row r="36" spans="1:11" s="127" customFormat="1" ht="12.95" customHeight="1" x14ac:dyDescent="0.2">
      <c r="A36" s="168"/>
      <c r="B36" s="212"/>
      <c r="C36" s="297" t="s">
        <v>158</v>
      </c>
      <c r="D36" s="298"/>
      <c r="E36" s="232">
        <f t="shared" ref="E36:K36" si="11">SUM(E37:E39)</f>
        <v>4448250</v>
      </c>
      <c r="F36" s="232">
        <f t="shared" si="11"/>
        <v>538269</v>
      </c>
      <c r="G36" s="232">
        <f t="shared" si="11"/>
        <v>4986519</v>
      </c>
      <c r="H36" s="232">
        <f t="shared" si="11"/>
        <v>-21342</v>
      </c>
      <c r="I36" s="232">
        <f t="shared" si="11"/>
        <v>4965177</v>
      </c>
      <c r="J36" s="232">
        <f t="shared" si="11"/>
        <v>-424501</v>
      </c>
      <c r="K36" s="232">
        <f t="shared" si="11"/>
        <v>4540676</v>
      </c>
    </row>
    <row r="37" spans="1:11" ht="12.95" customHeight="1" x14ac:dyDescent="0.2">
      <c r="A37" s="157"/>
      <c r="B37" s="172"/>
      <c r="C37" s="145">
        <v>6050</v>
      </c>
      <c r="D37" s="191" t="s">
        <v>159</v>
      </c>
      <c r="E37" s="238">
        <v>4148250</v>
      </c>
      <c r="F37" s="238">
        <v>458269</v>
      </c>
      <c r="G37" s="238">
        <f>SUM(E37:F37)</f>
        <v>4606519</v>
      </c>
      <c r="H37" s="238">
        <f>-26342</f>
        <v>-26342</v>
      </c>
      <c r="I37" s="238">
        <f>SUM(G37:H37)</f>
        <v>4580177</v>
      </c>
      <c r="J37" s="238">
        <v>-424501</v>
      </c>
      <c r="K37" s="238">
        <f>SUM(I37:J37)</f>
        <v>4155676</v>
      </c>
    </row>
    <row r="38" spans="1:11" ht="12.95" customHeight="1" x14ac:dyDescent="0.2">
      <c r="A38" s="157"/>
      <c r="B38" s="172"/>
      <c r="C38" s="145">
        <v>6060</v>
      </c>
      <c r="D38" s="191" t="s">
        <v>174</v>
      </c>
      <c r="E38" s="238"/>
      <c r="F38" s="238">
        <v>80000</v>
      </c>
      <c r="G38" s="238">
        <f>SUM(E38:F38)</f>
        <v>80000</v>
      </c>
      <c r="H38" s="238">
        <f>5000</f>
        <v>5000</v>
      </c>
      <c r="I38" s="238">
        <f>SUM(G38:H38)</f>
        <v>85000</v>
      </c>
      <c r="J38" s="238"/>
      <c r="K38" s="238">
        <f>SUM(I38:J38)</f>
        <v>85000</v>
      </c>
    </row>
    <row r="39" spans="1:11" ht="12.95" customHeight="1" x14ac:dyDescent="0.2">
      <c r="A39" s="157"/>
      <c r="B39" s="172"/>
      <c r="C39" s="145">
        <v>6300</v>
      </c>
      <c r="D39" s="191" t="s">
        <v>160</v>
      </c>
      <c r="E39" s="238">
        <v>300000</v>
      </c>
      <c r="F39" s="238"/>
      <c r="G39" s="238">
        <f>SUM(E39:F39)</f>
        <v>300000</v>
      </c>
      <c r="H39" s="238"/>
      <c r="I39" s="238">
        <f>SUM(G39:H39)</f>
        <v>300000</v>
      </c>
      <c r="J39" s="238"/>
      <c r="K39" s="238">
        <f>SUM(I39:J39)</f>
        <v>300000</v>
      </c>
    </row>
    <row r="40" spans="1:11" ht="12.95" customHeight="1" x14ac:dyDescent="0.2">
      <c r="A40" s="167"/>
      <c r="B40" s="167">
        <v>60095</v>
      </c>
      <c r="C40" s="146"/>
      <c r="D40" s="188" t="s">
        <v>65</v>
      </c>
      <c r="E40" s="234">
        <f t="shared" ref="E40:K40" si="12">SUM(E41)</f>
        <v>750000</v>
      </c>
      <c r="F40" s="234">
        <f t="shared" si="12"/>
        <v>0</v>
      </c>
      <c r="G40" s="234">
        <f t="shared" si="12"/>
        <v>750000</v>
      </c>
      <c r="H40" s="234">
        <f t="shared" si="12"/>
        <v>0</v>
      </c>
      <c r="I40" s="234">
        <f t="shared" si="12"/>
        <v>750000</v>
      </c>
      <c r="J40" s="234">
        <f t="shared" si="12"/>
        <v>0</v>
      </c>
      <c r="K40" s="234">
        <f t="shared" si="12"/>
        <v>750000</v>
      </c>
    </row>
    <row r="41" spans="1:11" s="127" customFormat="1" ht="25.5" customHeight="1" x14ac:dyDescent="0.2">
      <c r="A41" s="168"/>
      <c r="B41" s="207"/>
      <c r="C41" s="295" t="s">
        <v>294</v>
      </c>
      <c r="D41" s="296"/>
      <c r="E41" s="228">
        <f t="shared" ref="E41:K41" si="13">SUM(E42:E49)</f>
        <v>750000</v>
      </c>
      <c r="F41" s="228">
        <f t="shared" si="13"/>
        <v>0</v>
      </c>
      <c r="G41" s="228">
        <f t="shared" si="13"/>
        <v>750000</v>
      </c>
      <c r="H41" s="228">
        <f t="shared" si="13"/>
        <v>0</v>
      </c>
      <c r="I41" s="228">
        <f t="shared" si="13"/>
        <v>750000</v>
      </c>
      <c r="J41" s="228">
        <f t="shared" si="13"/>
        <v>0</v>
      </c>
      <c r="K41" s="228">
        <f t="shared" si="13"/>
        <v>750000</v>
      </c>
    </row>
    <row r="42" spans="1:11" ht="12.95" customHeight="1" x14ac:dyDescent="0.2">
      <c r="A42" s="157"/>
      <c r="B42" s="157"/>
      <c r="C42" s="144">
        <v>4210</v>
      </c>
      <c r="D42" s="192" t="s">
        <v>154</v>
      </c>
      <c r="E42" s="238">
        <v>24000</v>
      </c>
      <c r="F42" s="238"/>
      <c r="G42" s="238">
        <f>SUM(E42:F42)</f>
        <v>24000</v>
      </c>
      <c r="H42" s="238">
        <f>-1000</f>
        <v>-1000</v>
      </c>
      <c r="I42" s="238">
        <f>SUM(G42:H42)</f>
        <v>23000</v>
      </c>
      <c r="J42" s="238"/>
      <c r="K42" s="238">
        <f>SUM(I42:J42)</f>
        <v>23000</v>
      </c>
    </row>
    <row r="43" spans="1:11" ht="12.95" customHeight="1" x14ac:dyDescent="0.2">
      <c r="A43" s="157"/>
      <c r="B43" s="157"/>
      <c r="C43" s="144">
        <v>4270</v>
      </c>
      <c r="D43" s="185" t="s">
        <v>156</v>
      </c>
      <c r="E43" s="238">
        <v>400</v>
      </c>
      <c r="F43" s="238"/>
      <c r="G43" s="238">
        <f t="shared" ref="G43:G49" si="14">SUM(E43:F43)</f>
        <v>400</v>
      </c>
      <c r="H43" s="238"/>
      <c r="I43" s="238">
        <f t="shared" ref="I43:I49" si="15">SUM(G43:H43)</f>
        <v>400</v>
      </c>
      <c r="J43" s="238"/>
      <c r="K43" s="238">
        <f t="shared" ref="K43:K49" si="16">SUM(I43:J43)</f>
        <v>400</v>
      </c>
    </row>
    <row r="44" spans="1:11" ht="12.95" customHeight="1" x14ac:dyDescent="0.2">
      <c r="A44" s="157"/>
      <c r="B44" s="157"/>
      <c r="C44" s="144">
        <v>4300</v>
      </c>
      <c r="D44" s="185" t="s">
        <v>145</v>
      </c>
      <c r="E44" s="238">
        <v>720000</v>
      </c>
      <c r="F44" s="238"/>
      <c r="G44" s="238">
        <f t="shared" si="14"/>
        <v>720000</v>
      </c>
      <c r="H44" s="238"/>
      <c r="I44" s="238">
        <f t="shared" si="15"/>
        <v>720000</v>
      </c>
      <c r="J44" s="238"/>
      <c r="K44" s="238">
        <f t="shared" si="16"/>
        <v>720000</v>
      </c>
    </row>
    <row r="45" spans="1:11" x14ac:dyDescent="0.2">
      <c r="A45" s="157"/>
      <c r="B45" s="157"/>
      <c r="C45" s="144">
        <v>4390</v>
      </c>
      <c r="D45" s="185" t="s">
        <v>170</v>
      </c>
      <c r="E45" s="238">
        <v>600</v>
      </c>
      <c r="F45" s="238"/>
      <c r="G45" s="238">
        <f t="shared" si="14"/>
        <v>600</v>
      </c>
      <c r="H45" s="238"/>
      <c r="I45" s="238">
        <f t="shared" si="15"/>
        <v>600</v>
      </c>
      <c r="J45" s="238"/>
      <c r="K45" s="238">
        <f t="shared" si="16"/>
        <v>600</v>
      </c>
    </row>
    <row r="46" spans="1:11" ht="12.95" customHeight="1" x14ac:dyDescent="0.2">
      <c r="A46" s="157"/>
      <c r="B46" s="157"/>
      <c r="C46" s="144">
        <v>4580</v>
      </c>
      <c r="D46" s="185" t="s">
        <v>42</v>
      </c>
      <c r="E46" s="238">
        <v>500</v>
      </c>
      <c r="F46" s="238"/>
      <c r="G46" s="238">
        <f t="shared" si="14"/>
        <v>500</v>
      </c>
      <c r="H46" s="238"/>
      <c r="I46" s="238">
        <f t="shared" si="15"/>
        <v>500</v>
      </c>
      <c r="J46" s="238"/>
      <c r="K46" s="238">
        <f t="shared" si="16"/>
        <v>500</v>
      </c>
    </row>
    <row r="47" spans="1:11" ht="12.95" customHeight="1" x14ac:dyDescent="0.2">
      <c r="A47" s="157"/>
      <c r="B47" s="157"/>
      <c r="C47" s="144">
        <v>4590</v>
      </c>
      <c r="D47" s="185" t="s">
        <v>163</v>
      </c>
      <c r="E47" s="238">
        <v>4000</v>
      </c>
      <c r="F47" s="238"/>
      <c r="G47" s="238">
        <f t="shared" si="14"/>
        <v>4000</v>
      </c>
      <c r="H47" s="238"/>
      <c r="I47" s="238">
        <f t="shared" si="15"/>
        <v>4000</v>
      </c>
      <c r="J47" s="238"/>
      <c r="K47" s="238">
        <f t="shared" si="16"/>
        <v>4000</v>
      </c>
    </row>
    <row r="48" spans="1:11" ht="12.95" customHeight="1" x14ac:dyDescent="0.2">
      <c r="A48" s="157"/>
      <c r="B48" s="157"/>
      <c r="C48" s="144">
        <v>4610</v>
      </c>
      <c r="D48" s="185" t="s">
        <v>164</v>
      </c>
      <c r="E48" s="238">
        <v>200</v>
      </c>
      <c r="F48" s="238"/>
      <c r="G48" s="238">
        <f t="shared" si="14"/>
        <v>200</v>
      </c>
      <c r="H48" s="238"/>
      <c r="I48" s="238">
        <f t="shared" si="15"/>
        <v>200</v>
      </c>
      <c r="J48" s="238"/>
      <c r="K48" s="238">
        <f t="shared" si="16"/>
        <v>200</v>
      </c>
    </row>
    <row r="49" spans="1:11" ht="12.95" customHeight="1" x14ac:dyDescent="0.2">
      <c r="A49" s="157"/>
      <c r="B49" s="157"/>
      <c r="C49" s="144">
        <v>4700</v>
      </c>
      <c r="D49" s="185" t="s">
        <v>173</v>
      </c>
      <c r="E49" s="238">
        <v>300</v>
      </c>
      <c r="F49" s="238"/>
      <c r="G49" s="238">
        <f t="shared" si="14"/>
        <v>300</v>
      </c>
      <c r="H49" s="238">
        <f>1000</f>
        <v>1000</v>
      </c>
      <c r="I49" s="238">
        <f t="shared" si="15"/>
        <v>1300</v>
      </c>
      <c r="J49" s="238"/>
      <c r="K49" s="238">
        <f t="shared" si="16"/>
        <v>1300</v>
      </c>
    </row>
    <row r="50" spans="1:11" ht="12.95" customHeight="1" x14ac:dyDescent="0.2">
      <c r="A50" s="170">
        <v>630</v>
      </c>
      <c r="B50" s="170"/>
      <c r="C50" s="143"/>
      <c r="D50" s="189" t="s">
        <v>165</v>
      </c>
      <c r="E50" s="236">
        <f t="shared" ref="E50:K52" si="17">SUM(E51)</f>
        <v>8000</v>
      </c>
      <c r="F50" s="236">
        <f t="shared" si="17"/>
        <v>0</v>
      </c>
      <c r="G50" s="236">
        <f t="shared" si="17"/>
        <v>8000</v>
      </c>
      <c r="H50" s="236">
        <f t="shared" si="17"/>
        <v>0</v>
      </c>
      <c r="I50" s="236">
        <f t="shared" si="17"/>
        <v>8000</v>
      </c>
      <c r="J50" s="236">
        <f t="shared" si="17"/>
        <v>0</v>
      </c>
      <c r="K50" s="236">
        <f t="shared" si="17"/>
        <v>8000</v>
      </c>
    </row>
    <row r="51" spans="1:11" ht="12.95" customHeight="1" x14ac:dyDescent="0.2">
      <c r="A51" s="167"/>
      <c r="B51" s="167">
        <v>63095</v>
      </c>
      <c r="C51" s="146"/>
      <c r="D51" s="188" t="s">
        <v>166</v>
      </c>
      <c r="E51" s="234">
        <f t="shared" si="17"/>
        <v>8000</v>
      </c>
      <c r="F51" s="234">
        <f t="shared" si="17"/>
        <v>0</v>
      </c>
      <c r="G51" s="234">
        <f t="shared" si="17"/>
        <v>8000</v>
      </c>
      <c r="H51" s="234">
        <f t="shared" si="17"/>
        <v>0</v>
      </c>
      <c r="I51" s="234">
        <f t="shared" si="17"/>
        <v>8000</v>
      </c>
      <c r="J51" s="234">
        <f t="shared" si="17"/>
        <v>0</v>
      </c>
      <c r="K51" s="234">
        <f t="shared" si="17"/>
        <v>8000</v>
      </c>
    </row>
    <row r="52" spans="1:11" s="127" customFormat="1" ht="28.5" customHeight="1" x14ac:dyDescent="0.2">
      <c r="A52" s="168"/>
      <c r="B52" s="207"/>
      <c r="C52" s="295" t="s">
        <v>294</v>
      </c>
      <c r="D52" s="296"/>
      <c r="E52" s="228">
        <f t="shared" si="17"/>
        <v>8000</v>
      </c>
      <c r="F52" s="228">
        <f t="shared" si="17"/>
        <v>0</v>
      </c>
      <c r="G52" s="228">
        <f t="shared" si="17"/>
        <v>8000</v>
      </c>
      <c r="H52" s="228">
        <f t="shared" si="17"/>
        <v>0</v>
      </c>
      <c r="I52" s="228">
        <f t="shared" si="17"/>
        <v>8000</v>
      </c>
      <c r="J52" s="228">
        <f t="shared" si="17"/>
        <v>0</v>
      </c>
      <c r="K52" s="228">
        <f t="shared" si="17"/>
        <v>8000</v>
      </c>
    </row>
    <row r="53" spans="1:11" ht="12.95" customHeight="1" x14ac:dyDescent="0.2">
      <c r="A53" s="157"/>
      <c r="B53" s="157"/>
      <c r="C53" s="144">
        <v>4300</v>
      </c>
      <c r="D53" s="185" t="s">
        <v>145</v>
      </c>
      <c r="E53" s="229">
        <v>8000</v>
      </c>
      <c r="F53" s="229"/>
      <c r="G53" s="229">
        <f>SUM(E53:F53)</f>
        <v>8000</v>
      </c>
      <c r="H53" s="229"/>
      <c r="I53" s="229">
        <f>SUM(G53:H53)</f>
        <v>8000</v>
      </c>
      <c r="J53" s="229"/>
      <c r="K53" s="229">
        <f>SUM(I53:J53)</f>
        <v>8000</v>
      </c>
    </row>
    <row r="54" spans="1:11" ht="12.95" customHeight="1" x14ac:dyDescent="0.2">
      <c r="A54" s="170">
        <v>700</v>
      </c>
      <c r="B54" s="170"/>
      <c r="C54" s="143"/>
      <c r="D54" s="189" t="s">
        <v>30</v>
      </c>
      <c r="E54" s="236">
        <f t="shared" ref="E54:K54" si="18">SUM(E55)</f>
        <v>147137</v>
      </c>
      <c r="F54" s="236">
        <f t="shared" si="18"/>
        <v>0</v>
      </c>
      <c r="G54" s="236">
        <f t="shared" si="18"/>
        <v>147137</v>
      </c>
      <c r="H54" s="236">
        <f t="shared" si="18"/>
        <v>0</v>
      </c>
      <c r="I54" s="236">
        <f t="shared" si="18"/>
        <v>147137</v>
      </c>
      <c r="J54" s="236">
        <f t="shared" si="18"/>
        <v>-24940</v>
      </c>
      <c r="K54" s="236">
        <f t="shared" si="18"/>
        <v>122197</v>
      </c>
    </row>
    <row r="55" spans="1:11" ht="12.95" customHeight="1" x14ac:dyDescent="0.2">
      <c r="A55" s="167"/>
      <c r="B55" s="167">
        <v>70005</v>
      </c>
      <c r="C55" s="146"/>
      <c r="D55" s="188" t="s">
        <v>169</v>
      </c>
      <c r="E55" s="234">
        <f t="shared" ref="E55:K55" si="19">SUM(E56+E65)</f>
        <v>147137</v>
      </c>
      <c r="F55" s="234">
        <f t="shared" si="19"/>
        <v>0</v>
      </c>
      <c r="G55" s="234">
        <f t="shared" si="19"/>
        <v>147137</v>
      </c>
      <c r="H55" s="234">
        <f t="shared" si="19"/>
        <v>0</v>
      </c>
      <c r="I55" s="234">
        <f t="shared" si="19"/>
        <v>147137</v>
      </c>
      <c r="J55" s="234">
        <f t="shared" si="19"/>
        <v>-24940</v>
      </c>
      <c r="K55" s="234">
        <f t="shared" si="19"/>
        <v>122197</v>
      </c>
    </row>
    <row r="56" spans="1:11" s="127" customFormat="1" ht="23.25" customHeight="1" x14ac:dyDescent="0.2">
      <c r="A56" s="168"/>
      <c r="B56" s="207"/>
      <c r="C56" s="295" t="s">
        <v>294</v>
      </c>
      <c r="D56" s="296"/>
      <c r="E56" s="228">
        <f t="shared" ref="E56:K56" si="20">SUM(E57:E64)</f>
        <v>88700</v>
      </c>
      <c r="F56" s="228">
        <f t="shared" si="20"/>
        <v>0</v>
      </c>
      <c r="G56" s="228">
        <f t="shared" si="20"/>
        <v>88700</v>
      </c>
      <c r="H56" s="228">
        <f t="shared" si="20"/>
        <v>0</v>
      </c>
      <c r="I56" s="228">
        <f t="shared" si="20"/>
        <v>88700</v>
      </c>
      <c r="J56" s="228">
        <f t="shared" si="20"/>
        <v>-24940</v>
      </c>
      <c r="K56" s="228">
        <f t="shared" si="20"/>
        <v>63760</v>
      </c>
    </row>
    <row r="57" spans="1:11" ht="12.95" customHeight="1" x14ac:dyDescent="0.2">
      <c r="A57" s="157"/>
      <c r="B57" s="157"/>
      <c r="C57" s="144">
        <v>4210</v>
      </c>
      <c r="D57" s="192" t="s">
        <v>154</v>
      </c>
      <c r="E57" s="233">
        <f>550</f>
        <v>550</v>
      </c>
      <c r="F57" s="233"/>
      <c r="G57" s="233">
        <f>SUM(E57:F57)</f>
        <v>550</v>
      </c>
      <c r="H57" s="233"/>
      <c r="I57" s="233">
        <f>SUM(G57:H57)</f>
        <v>550</v>
      </c>
      <c r="J57" s="233"/>
      <c r="K57" s="233">
        <f>SUM(I57:J57)</f>
        <v>550</v>
      </c>
    </row>
    <row r="58" spans="1:11" ht="12.95" customHeight="1" x14ac:dyDescent="0.2">
      <c r="A58" s="157"/>
      <c r="B58" s="157"/>
      <c r="C58" s="144">
        <v>4300</v>
      </c>
      <c r="D58" s="185" t="s">
        <v>145</v>
      </c>
      <c r="E58" s="233">
        <f>2250+10000</f>
        <v>12250</v>
      </c>
      <c r="F58" s="233"/>
      <c r="G58" s="233">
        <f t="shared" ref="G58:G64" si="21">SUM(E58:F58)</f>
        <v>12250</v>
      </c>
      <c r="H58" s="233"/>
      <c r="I58" s="233">
        <f t="shared" ref="I58:I64" si="22">SUM(G58:H58)</f>
        <v>12250</v>
      </c>
      <c r="J58" s="233"/>
      <c r="K58" s="233">
        <f t="shared" ref="K58:K64" si="23">SUM(I58:J58)</f>
        <v>12250</v>
      </c>
    </row>
    <row r="59" spans="1:11" ht="12.95" customHeight="1" x14ac:dyDescent="0.2">
      <c r="A59" s="157"/>
      <c r="B59" s="157"/>
      <c r="C59" s="144">
        <v>4390</v>
      </c>
      <c r="D59" s="185" t="s">
        <v>170</v>
      </c>
      <c r="E59" s="233">
        <f>6300+10000</f>
        <v>16300</v>
      </c>
      <c r="F59" s="233"/>
      <c r="G59" s="233">
        <f t="shared" si="21"/>
        <v>16300</v>
      </c>
      <c r="H59" s="233"/>
      <c r="I59" s="233">
        <f t="shared" si="22"/>
        <v>16300</v>
      </c>
      <c r="J59" s="233"/>
      <c r="K59" s="233">
        <f t="shared" si="23"/>
        <v>16300</v>
      </c>
    </row>
    <row r="60" spans="1:11" ht="12.95" customHeight="1" x14ac:dyDescent="0.2">
      <c r="A60" s="157"/>
      <c r="B60" s="157"/>
      <c r="C60" s="144">
        <v>4410</v>
      </c>
      <c r="D60" s="185" t="s">
        <v>171</v>
      </c>
      <c r="E60" s="233">
        <f>700+500</f>
        <v>1200</v>
      </c>
      <c r="F60" s="233"/>
      <c r="G60" s="233">
        <f t="shared" si="21"/>
        <v>1200</v>
      </c>
      <c r="H60" s="233"/>
      <c r="I60" s="233">
        <f t="shared" si="22"/>
        <v>1200</v>
      </c>
      <c r="J60" s="233"/>
      <c r="K60" s="233">
        <f t="shared" si="23"/>
        <v>1200</v>
      </c>
    </row>
    <row r="61" spans="1:11" x14ac:dyDescent="0.2">
      <c r="A61" s="157"/>
      <c r="B61" s="157"/>
      <c r="C61" s="144">
        <v>4520</v>
      </c>
      <c r="D61" s="185" t="s">
        <v>295</v>
      </c>
      <c r="E61" s="233">
        <f>1100</f>
        <v>1100</v>
      </c>
      <c r="F61" s="233"/>
      <c r="G61" s="233">
        <f t="shared" si="21"/>
        <v>1100</v>
      </c>
      <c r="H61" s="233">
        <f>905</f>
        <v>905</v>
      </c>
      <c r="I61" s="233">
        <f t="shared" si="22"/>
        <v>2005</v>
      </c>
      <c r="J61" s="233"/>
      <c r="K61" s="233">
        <f t="shared" si="23"/>
        <v>2005</v>
      </c>
    </row>
    <row r="62" spans="1:11" x14ac:dyDescent="0.2">
      <c r="A62" s="157"/>
      <c r="B62" s="157"/>
      <c r="C62" s="144">
        <v>4590</v>
      </c>
      <c r="D62" s="185" t="s">
        <v>163</v>
      </c>
      <c r="E62" s="233">
        <f>2100+39000</f>
        <v>41100</v>
      </c>
      <c r="F62" s="233"/>
      <c r="G62" s="233">
        <f t="shared" si="21"/>
        <v>41100</v>
      </c>
      <c r="H62" s="233"/>
      <c r="I62" s="233">
        <f t="shared" si="22"/>
        <v>41100</v>
      </c>
      <c r="J62" s="233">
        <v>-24940</v>
      </c>
      <c r="K62" s="233">
        <f t="shared" si="23"/>
        <v>16160</v>
      </c>
    </row>
    <row r="63" spans="1:11" ht="12.95" customHeight="1" x14ac:dyDescent="0.2">
      <c r="A63" s="157"/>
      <c r="B63" s="157"/>
      <c r="C63" s="144">
        <v>4610</v>
      </c>
      <c r="D63" s="185" t="s">
        <v>164</v>
      </c>
      <c r="E63" s="233">
        <f>5700+3000</f>
        <v>8700</v>
      </c>
      <c r="F63" s="233"/>
      <c r="G63" s="233">
        <f t="shared" si="21"/>
        <v>8700</v>
      </c>
      <c r="H63" s="233">
        <f>-905</f>
        <v>-905</v>
      </c>
      <c r="I63" s="233">
        <f t="shared" si="22"/>
        <v>7795</v>
      </c>
      <c r="J63" s="233"/>
      <c r="K63" s="233">
        <f t="shared" si="23"/>
        <v>7795</v>
      </c>
    </row>
    <row r="64" spans="1:11" x14ac:dyDescent="0.2">
      <c r="A64" s="157"/>
      <c r="B64" s="157"/>
      <c r="C64" s="144">
        <v>4700</v>
      </c>
      <c r="D64" s="185" t="s">
        <v>173</v>
      </c>
      <c r="E64" s="233">
        <f>4000+3500</f>
        <v>7500</v>
      </c>
      <c r="F64" s="233"/>
      <c r="G64" s="233">
        <f t="shared" si="21"/>
        <v>7500</v>
      </c>
      <c r="H64" s="233"/>
      <c r="I64" s="233">
        <f t="shared" si="22"/>
        <v>7500</v>
      </c>
      <c r="J64" s="233"/>
      <c r="K64" s="233">
        <f t="shared" si="23"/>
        <v>7500</v>
      </c>
    </row>
    <row r="65" spans="1:11" x14ac:dyDescent="0.2">
      <c r="A65" s="157"/>
      <c r="B65" s="157"/>
      <c r="C65" s="299" t="s">
        <v>152</v>
      </c>
      <c r="D65" s="325"/>
      <c r="E65" s="239">
        <f t="shared" ref="E65:K65" si="24">SUM(E66:E68)</f>
        <v>58437</v>
      </c>
      <c r="F65" s="239">
        <f t="shared" si="24"/>
        <v>0</v>
      </c>
      <c r="G65" s="239">
        <f t="shared" si="24"/>
        <v>58437</v>
      </c>
      <c r="H65" s="239">
        <f t="shared" si="24"/>
        <v>0</v>
      </c>
      <c r="I65" s="239">
        <f t="shared" si="24"/>
        <v>58437</v>
      </c>
      <c r="J65" s="239">
        <f t="shared" si="24"/>
        <v>0</v>
      </c>
      <c r="K65" s="239">
        <f t="shared" si="24"/>
        <v>58437</v>
      </c>
    </row>
    <row r="66" spans="1:11" x14ac:dyDescent="0.2">
      <c r="A66" s="157"/>
      <c r="B66" s="157"/>
      <c r="C66" s="218">
        <v>4010</v>
      </c>
      <c r="D66" s="219" t="s">
        <v>176</v>
      </c>
      <c r="E66" s="255">
        <v>48844</v>
      </c>
      <c r="F66" s="255"/>
      <c r="G66" s="255">
        <f>SUM(E66:F66)</f>
        <v>48844</v>
      </c>
      <c r="H66" s="255"/>
      <c r="I66" s="255">
        <f>SUM(G66:H66)</f>
        <v>48844</v>
      </c>
      <c r="J66" s="255"/>
      <c r="K66" s="255">
        <f>SUM(I66:J66)</f>
        <v>48844</v>
      </c>
    </row>
    <row r="67" spans="1:11" x14ac:dyDescent="0.2">
      <c r="A67" s="157"/>
      <c r="B67" s="157"/>
      <c r="C67" s="218">
        <v>4110</v>
      </c>
      <c r="D67" s="219" t="s">
        <v>179</v>
      </c>
      <c r="E67" s="255">
        <v>8396</v>
      </c>
      <c r="F67" s="255"/>
      <c r="G67" s="255">
        <f>SUM(E67:F67)</f>
        <v>8396</v>
      </c>
      <c r="H67" s="255"/>
      <c r="I67" s="255">
        <f>SUM(G67:H67)</f>
        <v>8396</v>
      </c>
      <c r="J67" s="255"/>
      <c r="K67" s="255">
        <f>SUM(I67:J67)</f>
        <v>8396</v>
      </c>
    </row>
    <row r="68" spans="1:11" x14ac:dyDescent="0.2">
      <c r="A68" s="157"/>
      <c r="B68" s="157"/>
      <c r="C68" s="218">
        <v>4120</v>
      </c>
      <c r="D68" s="219" t="s">
        <v>180</v>
      </c>
      <c r="E68" s="255">
        <v>1197</v>
      </c>
      <c r="F68" s="255"/>
      <c r="G68" s="255">
        <f>SUM(E68:F68)</f>
        <v>1197</v>
      </c>
      <c r="H68" s="255"/>
      <c r="I68" s="255">
        <f>SUM(G68:H68)</f>
        <v>1197</v>
      </c>
      <c r="J68" s="255"/>
      <c r="K68" s="255">
        <f>SUM(I68:J68)</f>
        <v>1197</v>
      </c>
    </row>
    <row r="69" spans="1:11" ht="12.95" customHeight="1" x14ac:dyDescent="0.2">
      <c r="A69" s="170">
        <v>710</v>
      </c>
      <c r="B69" s="170"/>
      <c r="C69" s="143"/>
      <c r="D69" s="189" t="s">
        <v>38</v>
      </c>
      <c r="E69" s="236">
        <f t="shared" ref="E69:K69" si="25">SUM(E70+E87+E92)</f>
        <v>438420</v>
      </c>
      <c r="F69" s="236">
        <f t="shared" si="25"/>
        <v>0</v>
      </c>
      <c r="G69" s="236">
        <f t="shared" si="25"/>
        <v>438420</v>
      </c>
      <c r="H69" s="236">
        <f t="shared" si="25"/>
        <v>4070</v>
      </c>
      <c r="I69" s="236">
        <f t="shared" si="25"/>
        <v>442490</v>
      </c>
      <c r="J69" s="236">
        <f t="shared" si="25"/>
        <v>3700</v>
      </c>
      <c r="K69" s="236">
        <f t="shared" si="25"/>
        <v>446190</v>
      </c>
    </row>
    <row r="70" spans="1:11" ht="12.95" customHeight="1" x14ac:dyDescent="0.2">
      <c r="A70" s="167"/>
      <c r="B70" s="167">
        <v>71015</v>
      </c>
      <c r="C70" s="146"/>
      <c r="D70" s="188" t="s">
        <v>175</v>
      </c>
      <c r="E70" s="234">
        <f t="shared" ref="E70:K70" si="26">SUM(E71+E77)</f>
        <v>291720</v>
      </c>
      <c r="F70" s="234">
        <f t="shared" si="26"/>
        <v>0</v>
      </c>
      <c r="G70" s="234">
        <f t="shared" si="26"/>
        <v>291720</v>
      </c>
      <c r="H70" s="234">
        <f t="shared" si="26"/>
        <v>4070</v>
      </c>
      <c r="I70" s="234">
        <f t="shared" si="26"/>
        <v>295790</v>
      </c>
      <c r="J70" s="234">
        <f t="shared" si="26"/>
        <v>0</v>
      </c>
      <c r="K70" s="234">
        <f t="shared" si="26"/>
        <v>295790</v>
      </c>
    </row>
    <row r="71" spans="1:11" s="127" customFormat="1" ht="12.95" customHeight="1" x14ac:dyDescent="0.2">
      <c r="A71" s="168"/>
      <c r="B71" s="213"/>
      <c r="C71" s="299" t="s">
        <v>152</v>
      </c>
      <c r="D71" s="300"/>
      <c r="E71" s="228">
        <f t="shared" ref="E71:K71" si="27">SUM(E72:E76)</f>
        <v>264070</v>
      </c>
      <c r="F71" s="228">
        <f t="shared" si="27"/>
        <v>0</v>
      </c>
      <c r="G71" s="228">
        <f t="shared" si="27"/>
        <v>264070</v>
      </c>
      <c r="H71" s="228">
        <f t="shared" si="27"/>
        <v>4070</v>
      </c>
      <c r="I71" s="228">
        <f t="shared" si="27"/>
        <v>268140</v>
      </c>
      <c r="J71" s="228">
        <f t="shared" si="27"/>
        <v>0</v>
      </c>
      <c r="K71" s="228">
        <f t="shared" si="27"/>
        <v>268140</v>
      </c>
    </row>
    <row r="72" spans="1:11" ht="12.95" customHeight="1" x14ac:dyDescent="0.2">
      <c r="A72" s="157"/>
      <c r="B72" s="157"/>
      <c r="C72" s="145">
        <v>4010</v>
      </c>
      <c r="D72" s="191" t="s">
        <v>176</v>
      </c>
      <c r="E72" s="233">
        <v>66000</v>
      </c>
      <c r="F72" s="233"/>
      <c r="G72" s="233">
        <f>SUM(E72:F72)</f>
        <v>66000</v>
      </c>
      <c r="H72" s="233"/>
      <c r="I72" s="233">
        <f>SUM(G72:H72)</f>
        <v>66000</v>
      </c>
      <c r="J72" s="233"/>
      <c r="K72" s="233">
        <f>SUM(I72:J72)</f>
        <v>66000</v>
      </c>
    </row>
    <row r="73" spans="1:11" ht="12.95" customHeight="1" x14ac:dyDescent="0.2">
      <c r="A73" s="157"/>
      <c r="B73" s="157"/>
      <c r="C73" s="145">
        <v>4020</v>
      </c>
      <c r="D73" s="191" t="s">
        <v>177</v>
      </c>
      <c r="E73" s="233">
        <v>137220</v>
      </c>
      <c r="F73" s="233"/>
      <c r="G73" s="233">
        <f>SUM(E73:F73)</f>
        <v>137220</v>
      </c>
      <c r="H73" s="233">
        <f>4070</f>
        <v>4070</v>
      </c>
      <c r="I73" s="233">
        <f>SUM(G73:H73)</f>
        <v>141290</v>
      </c>
      <c r="J73" s="233"/>
      <c r="K73" s="233">
        <f>SUM(I73:J73)</f>
        <v>141290</v>
      </c>
    </row>
    <row r="74" spans="1:11" ht="12.95" customHeight="1" x14ac:dyDescent="0.2">
      <c r="A74" s="157"/>
      <c r="B74" s="157"/>
      <c r="C74" s="145">
        <v>4040</v>
      </c>
      <c r="D74" s="191" t="s">
        <v>178</v>
      </c>
      <c r="E74" s="233">
        <v>15500</v>
      </c>
      <c r="F74" s="233"/>
      <c r="G74" s="233">
        <f>SUM(E74:F74)</f>
        <v>15500</v>
      </c>
      <c r="H74" s="233">
        <f>1675</f>
        <v>1675</v>
      </c>
      <c r="I74" s="233">
        <f>SUM(G74:H74)</f>
        <v>17175</v>
      </c>
      <c r="J74" s="233"/>
      <c r="K74" s="233">
        <f>SUM(I74:J74)</f>
        <v>17175</v>
      </c>
    </row>
    <row r="75" spans="1:11" ht="12.95" customHeight="1" x14ac:dyDescent="0.2">
      <c r="A75" s="157"/>
      <c r="B75" s="157"/>
      <c r="C75" s="145">
        <v>4110</v>
      </c>
      <c r="D75" s="191" t="s">
        <v>179</v>
      </c>
      <c r="E75" s="233">
        <v>40500</v>
      </c>
      <c r="F75" s="233"/>
      <c r="G75" s="233">
        <f>SUM(E75:F75)</f>
        <v>40500</v>
      </c>
      <c r="H75" s="233"/>
      <c r="I75" s="233">
        <f>SUM(G75:H75)</f>
        <v>40500</v>
      </c>
      <c r="J75" s="233"/>
      <c r="K75" s="233">
        <f>SUM(I75:J75)</f>
        <v>40500</v>
      </c>
    </row>
    <row r="76" spans="1:11" ht="12" customHeight="1" x14ac:dyDescent="0.2">
      <c r="A76" s="157"/>
      <c r="B76" s="157"/>
      <c r="C76" s="145">
        <v>4120</v>
      </c>
      <c r="D76" s="191" t="s">
        <v>180</v>
      </c>
      <c r="E76" s="233">
        <v>4850</v>
      </c>
      <c r="F76" s="233"/>
      <c r="G76" s="233">
        <f>SUM(E76:F76)</f>
        <v>4850</v>
      </c>
      <c r="H76" s="233">
        <f>-1675</f>
        <v>-1675</v>
      </c>
      <c r="I76" s="233">
        <f>SUM(G76:H76)</f>
        <v>3175</v>
      </c>
      <c r="J76" s="233"/>
      <c r="K76" s="233">
        <f>SUM(I76:J76)</f>
        <v>3175</v>
      </c>
    </row>
    <row r="77" spans="1:11" s="127" customFormat="1" ht="23.25" customHeight="1" x14ac:dyDescent="0.2">
      <c r="A77" s="168"/>
      <c r="B77" s="213"/>
      <c r="C77" s="295" t="s">
        <v>294</v>
      </c>
      <c r="D77" s="296"/>
      <c r="E77" s="232">
        <f t="shared" ref="E77:K77" si="28">SUM(E78:E86)</f>
        <v>27650</v>
      </c>
      <c r="F77" s="232">
        <f t="shared" si="28"/>
        <v>0</v>
      </c>
      <c r="G77" s="232">
        <f t="shared" si="28"/>
        <v>27650</v>
      </c>
      <c r="H77" s="232">
        <f t="shared" si="28"/>
        <v>0</v>
      </c>
      <c r="I77" s="232">
        <f t="shared" si="28"/>
        <v>27650</v>
      </c>
      <c r="J77" s="232">
        <f t="shared" si="28"/>
        <v>0</v>
      </c>
      <c r="K77" s="232">
        <f t="shared" si="28"/>
        <v>27650</v>
      </c>
    </row>
    <row r="78" spans="1:11" ht="12.95" customHeight="1" x14ac:dyDescent="0.2">
      <c r="A78" s="157"/>
      <c r="B78" s="157"/>
      <c r="C78" s="145">
        <v>4210</v>
      </c>
      <c r="D78" s="190" t="s">
        <v>154</v>
      </c>
      <c r="E78" s="233">
        <v>6694</v>
      </c>
      <c r="F78" s="233"/>
      <c r="G78" s="233">
        <f>SUM(E78:F78)</f>
        <v>6694</v>
      </c>
      <c r="H78" s="233"/>
      <c r="I78" s="233">
        <f>SUM(G78:H78)</f>
        <v>6694</v>
      </c>
      <c r="J78" s="233"/>
      <c r="K78" s="233">
        <f>SUM(I78:J78)</f>
        <v>6694</v>
      </c>
    </row>
    <row r="79" spans="1:11" ht="12.95" customHeight="1" x14ac:dyDescent="0.2">
      <c r="A79" s="157"/>
      <c r="B79" s="157"/>
      <c r="C79" s="145">
        <v>4260</v>
      </c>
      <c r="D79" s="191" t="s">
        <v>155</v>
      </c>
      <c r="E79" s="233">
        <v>4500</v>
      </c>
      <c r="F79" s="233"/>
      <c r="G79" s="233">
        <f t="shared" ref="G79:G86" si="29">SUM(E79:F79)</f>
        <v>4500</v>
      </c>
      <c r="H79" s="233"/>
      <c r="I79" s="233">
        <f t="shared" ref="I79:I86" si="30">SUM(G79:H79)</f>
        <v>4500</v>
      </c>
      <c r="J79" s="233"/>
      <c r="K79" s="233">
        <f t="shared" ref="K79:K86" si="31">SUM(I79:J79)</f>
        <v>4500</v>
      </c>
    </row>
    <row r="80" spans="1:11" ht="12.95" customHeight="1" x14ac:dyDescent="0.2">
      <c r="A80" s="157"/>
      <c r="B80" s="157"/>
      <c r="C80" s="145">
        <v>4280</v>
      </c>
      <c r="D80" s="191" t="s">
        <v>182</v>
      </c>
      <c r="E80" s="233">
        <v>100</v>
      </c>
      <c r="F80" s="233"/>
      <c r="G80" s="233">
        <f t="shared" si="29"/>
        <v>100</v>
      </c>
      <c r="H80" s="233"/>
      <c r="I80" s="233">
        <f t="shared" si="30"/>
        <v>100</v>
      </c>
      <c r="J80" s="233"/>
      <c r="K80" s="233">
        <f t="shared" si="31"/>
        <v>100</v>
      </c>
    </row>
    <row r="81" spans="1:11" ht="12.95" customHeight="1" x14ac:dyDescent="0.2">
      <c r="A81" s="157"/>
      <c r="B81" s="157"/>
      <c r="C81" s="145">
        <v>4300</v>
      </c>
      <c r="D81" s="191" t="s">
        <v>145</v>
      </c>
      <c r="E81" s="233">
        <v>5368</v>
      </c>
      <c r="F81" s="233"/>
      <c r="G81" s="233">
        <f t="shared" si="29"/>
        <v>5368</v>
      </c>
      <c r="H81" s="233"/>
      <c r="I81" s="233">
        <f t="shared" si="30"/>
        <v>5368</v>
      </c>
      <c r="J81" s="233"/>
      <c r="K81" s="233">
        <f t="shared" si="31"/>
        <v>5368</v>
      </c>
    </row>
    <row r="82" spans="1:11" ht="12.95" customHeight="1" x14ac:dyDescent="0.2">
      <c r="A82" s="157"/>
      <c r="B82" s="157"/>
      <c r="C82" s="144">
        <v>4360</v>
      </c>
      <c r="D82" s="185" t="s">
        <v>293</v>
      </c>
      <c r="E82" s="233">
        <v>2238</v>
      </c>
      <c r="F82" s="233"/>
      <c r="G82" s="233">
        <f t="shared" si="29"/>
        <v>2238</v>
      </c>
      <c r="H82" s="233"/>
      <c r="I82" s="233">
        <f t="shared" si="30"/>
        <v>2238</v>
      </c>
      <c r="J82" s="233"/>
      <c r="K82" s="233">
        <f t="shared" si="31"/>
        <v>2238</v>
      </c>
    </row>
    <row r="83" spans="1:11" ht="12.95" customHeight="1" x14ac:dyDescent="0.2">
      <c r="A83" s="157"/>
      <c r="B83" s="157"/>
      <c r="C83" s="145">
        <v>4410</v>
      </c>
      <c r="D83" s="191" t="s">
        <v>171</v>
      </c>
      <c r="E83" s="233">
        <v>200</v>
      </c>
      <c r="F83" s="233"/>
      <c r="G83" s="233">
        <f t="shared" si="29"/>
        <v>200</v>
      </c>
      <c r="H83" s="233"/>
      <c r="I83" s="233">
        <f t="shared" si="30"/>
        <v>200</v>
      </c>
      <c r="J83" s="233"/>
      <c r="K83" s="233">
        <f t="shared" si="31"/>
        <v>200</v>
      </c>
    </row>
    <row r="84" spans="1:11" ht="12.95" customHeight="1" x14ac:dyDescent="0.2">
      <c r="A84" s="157"/>
      <c r="B84" s="157"/>
      <c r="C84" s="144">
        <v>4430</v>
      </c>
      <c r="D84" s="185" t="s">
        <v>157</v>
      </c>
      <c r="E84" s="233">
        <v>2500</v>
      </c>
      <c r="F84" s="233"/>
      <c r="G84" s="233">
        <f t="shared" si="29"/>
        <v>2500</v>
      </c>
      <c r="H84" s="233"/>
      <c r="I84" s="233">
        <f t="shared" si="30"/>
        <v>2500</v>
      </c>
      <c r="J84" s="233"/>
      <c r="K84" s="233">
        <f t="shared" si="31"/>
        <v>2500</v>
      </c>
    </row>
    <row r="85" spans="1:11" ht="12.95" customHeight="1" x14ac:dyDescent="0.2">
      <c r="A85" s="157"/>
      <c r="B85" s="157"/>
      <c r="C85" s="145">
        <v>4440</v>
      </c>
      <c r="D85" s="191" t="s">
        <v>186</v>
      </c>
      <c r="E85" s="233">
        <v>5550</v>
      </c>
      <c r="F85" s="233"/>
      <c r="G85" s="233">
        <f t="shared" si="29"/>
        <v>5550</v>
      </c>
      <c r="H85" s="233"/>
      <c r="I85" s="233">
        <f t="shared" si="30"/>
        <v>5550</v>
      </c>
      <c r="J85" s="233"/>
      <c r="K85" s="233">
        <f t="shared" si="31"/>
        <v>5550</v>
      </c>
    </row>
    <row r="86" spans="1:11" ht="12.95" customHeight="1" x14ac:dyDescent="0.2">
      <c r="A86" s="157"/>
      <c r="B86" s="157"/>
      <c r="C86" s="145">
        <v>4700</v>
      </c>
      <c r="D86" s="185" t="s">
        <v>173</v>
      </c>
      <c r="E86" s="233">
        <v>500</v>
      </c>
      <c r="F86" s="233"/>
      <c r="G86" s="233">
        <f t="shared" si="29"/>
        <v>500</v>
      </c>
      <c r="H86" s="233"/>
      <c r="I86" s="233">
        <f t="shared" si="30"/>
        <v>500</v>
      </c>
      <c r="J86" s="233"/>
      <c r="K86" s="233">
        <f t="shared" si="31"/>
        <v>500</v>
      </c>
    </row>
    <row r="87" spans="1:11" ht="12.95" customHeight="1" x14ac:dyDescent="0.2">
      <c r="A87" s="167"/>
      <c r="B87" s="167">
        <v>71020</v>
      </c>
      <c r="C87" s="146"/>
      <c r="D87" s="188" t="s">
        <v>44</v>
      </c>
      <c r="E87" s="234">
        <f t="shared" ref="E87:K87" si="32">SUM(E88+E90)</f>
        <v>56700</v>
      </c>
      <c r="F87" s="234">
        <f t="shared" si="32"/>
        <v>0</v>
      </c>
      <c r="G87" s="234">
        <f t="shared" si="32"/>
        <v>56700</v>
      </c>
      <c r="H87" s="234">
        <f t="shared" si="32"/>
        <v>0</v>
      </c>
      <c r="I87" s="234">
        <f t="shared" si="32"/>
        <v>56700</v>
      </c>
      <c r="J87" s="234">
        <f t="shared" si="32"/>
        <v>3700</v>
      </c>
      <c r="K87" s="234">
        <f t="shared" si="32"/>
        <v>60400</v>
      </c>
    </row>
    <row r="88" spans="1:11" s="127" customFormat="1" ht="12.95" customHeight="1" x14ac:dyDescent="0.2">
      <c r="A88" s="168"/>
      <c r="B88" s="152"/>
      <c r="C88" s="299" t="s">
        <v>152</v>
      </c>
      <c r="D88" s="300"/>
      <c r="E88" s="232">
        <f t="shared" ref="E88:K88" si="33">SUM(E89)</f>
        <v>1700</v>
      </c>
      <c r="F88" s="232">
        <f t="shared" si="33"/>
        <v>0</v>
      </c>
      <c r="G88" s="232">
        <f t="shared" si="33"/>
        <v>1700</v>
      </c>
      <c r="H88" s="232">
        <f t="shared" si="33"/>
        <v>12300</v>
      </c>
      <c r="I88" s="232">
        <f t="shared" si="33"/>
        <v>14000</v>
      </c>
      <c r="J88" s="232">
        <f t="shared" si="33"/>
        <v>0</v>
      </c>
      <c r="K88" s="232">
        <f t="shared" si="33"/>
        <v>14000</v>
      </c>
    </row>
    <row r="89" spans="1:11" ht="12.95" customHeight="1" x14ac:dyDescent="0.2">
      <c r="A89" s="157"/>
      <c r="B89" s="157"/>
      <c r="C89" s="145">
        <v>4170</v>
      </c>
      <c r="D89" s="191" t="s">
        <v>153</v>
      </c>
      <c r="E89" s="233">
        <v>1700</v>
      </c>
      <c r="F89" s="233"/>
      <c r="G89" s="233">
        <f>SUM(E89:F89)</f>
        <v>1700</v>
      </c>
      <c r="H89" s="233">
        <f>12300</f>
        <v>12300</v>
      </c>
      <c r="I89" s="233">
        <f>SUM(G89:H89)</f>
        <v>14000</v>
      </c>
      <c r="J89" s="233"/>
      <c r="K89" s="233">
        <f>SUM(I89:J89)</f>
        <v>14000</v>
      </c>
    </row>
    <row r="90" spans="1:11" s="127" customFormat="1" ht="22.5" customHeight="1" x14ac:dyDescent="0.2">
      <c r="A90" s="168"/>
      <c r="B90" s="207"/>
      <c r="C90" s="292" t="s">
        <v>294</v>
      </c>
      <c r="D90" s="293"/>
      <c r="E90" s="232">
        <f t="shared" ref="E90:K90" si="34">SUM(E91:E91)</f>
        <v>55000</v>
      </c>
      <c r="F90" s="232">
        <f t="shared" si="34"/>
        <v>0</v>
      </c>
      <c r="G90" s="232">
        <f t="shared" si="34"/>
        <v>55000</v>
      </c>
      <c r="H90" s="232">
        <f t="shared" si="34"/>
        <v>-12300</v>
      </c>
      <c r="I90" s="232">
        <f t="shared" si="34"/>
        <v>42700</v>
      </c>
      <c r="J90" s="232">
        <f t="shared" si="34"/>
        <v>3700</v>
      </c>
      <c r="K90" s="232">
        <f t="shared" si="34"/>
        <v>46400</v>
      </c>
    </row>
    <row r="91" spans="1:11" ht="12.95" customHeight="1" x14ac:dyDescent="0.2">
      <c r="A91" s="157"/>
      <c r="B91" s="157"/>
      <c r="C91" s="144">
        <v>4300</v>
      </c>
      <c r="D91" s="191" t="s">
        <v>145</v>
      </c>
      <c r="E91" s="233">
        <v>55000</v>
      </c>
      <c r="F91" s="233"/>
      <c r="G91" s="233">
        <f>SUM(E91:F91)</f>
        <v>55000</v>
      </c>
      <c r="H91" s="233">
        <f>-12300</f>
        <v>-12300</v>
      </c>
      <c r="I91" s="233">
        <f>SUM(G91:H91)</f>
        <v>42700</v>
      </c>
      <c r="J91" s="233">
        <v>3700</v>
      </c>
      <c r="K91" s="233">
        <f>SUM(I91:J91)</f>
        <v>46400</v>
      </c>
    </row>
    <row r="92" spans="1:11" ht="12.95" customHeight="1" x14ac:dyDescent="0.2">
      <c r="A92" s="167"/>
      <c r="B92" s="167">
        <v>71095</v>
      </c>
      <c r="C92" s="146"/>
      <c r="D92" s="188" t="s">
        <v>65</v>
      </c>
      <c r="E92" s="234">
        <f t="shared" ref="E92:K92" si="35">SUM(E93+E98)</f>
        <v>90000</v>
      </c>
      <c r="F92" s="234">
        <f t="shared" si="35"/>
        <v>0</v>
      </c>
      <c r="G92" s="234">
        <f t="shared" si="35"/>
        <v>90000</v>
      </c>
      <c r="H92" s="234">
        <f t="shared" si="35"/>
        <v>0</v>
      </c>
      <c r="I92" s="234">
        <f t="shared" si="35"/>
        <v>90000</v>
      </c>
      <c r="J92" s="234">
        <f t="shared" si="35"/>
        <v>0</v>
      </c>
      <c r="K92" s="234">
        <f t="shared" si="35"/>
        <v>90000</v>
      </c>
    </row>
    <row r="93" spans="1:11" s="127" customFormat="1" ht="25.5" customHeight="1" x14ac:dyDescent="0.2">
      <c r="A93" s="168"/>
      <c r="B93" s="207"/>
      <c r="C93" s="292" t="s">
        <v>294</v>
      </c>
      <c r="D93" s="293"/>
      <c r="E93" s="232">
        <f t="shared" ref="E93:K93" si="36">SUM(E94:E97)</f>
        <v>90000</v>
      </c>
      <c r="F93" s="232">
        <f t="shared" si="36"/>
        <v>-27000</v>
      </c>
      <c r="G93" s="232">
        <f t="shared" si="36"/>
        <v>63000</v>
      </c>
      <c r="H93" s="232">
        <f t="shared" si="36"/>
        <v>0</v>
      </c>
      <c r="I93" s="232">
        <f t="shared" si="36"/>
        <v>63000</v>
      </c>
      <c r="J93" s="232">
        <f t="shared" si="36"/>
        <v>0</v>
      </c>
      <c r="K93" s="232">
        <f t="shared" si="36"/>
        <v>63000</v>
      </c>
    </row>
    <row r="94" spans="1:11" s="127" customFormat="1" ht="12.95" customHeight="1" x14ac:dyDescent="0.2">
      <c r="A94" s="168"/>
      <c r="B94" s="207"/>
      <c r="C94" s="156">
        <v>4210</v>
      </c>
      <c r="D94" s="220" t="s">
        <v>154</v>
      </c>
      <c r="E94" s="241">
        <v>6000</v>
      </c>
      <c r="F94" s="241"/>
      <c r="G94" s="241">
        <f>SUM(E94:F94)</f>
        <v>6000</v>
      </c>
      <c r="H94" s="241"/>
      <c r="I94" s="241">
        <f>SUM(G94:H94)</f>
        <v>6000</v>
      </c>
      <c r="J94" s="241"/>
      <c r="K94" s="241">
        <f>SUM(I94:J94)</f>
        <v>6000</v>
      </c>
    </row>
    <row r="95" spans="1:11" ht="12.95" customHeight="1" x14ac:dyDescent="0.2">
      <c r="A95" s="157"/>
      <c r="B95" s="157"/>
      <c r="C95" s="144">
        <v>4300</v>
      </c>
      <c r="D95" s="191" t="s">
        <v>145</v>
      </c>
      <c r="E95" s="233">
        <v>77000</v>
      </c>
      <c r="F95" s="233">
        <v>-27000</v>
      </c>
      <c r="G95" s="241">
        <f>SUM(E95:F95)</f>
        <v>50000</v>
      </c>
      <c r="H95" s="233"/>
      <c r="I95" s="241">
        <f>SUM(G95:H95)</f>
        <v>50000</v>
      </c>
      <c r="J95" s="233"/>
      <c r="K95" s="241">
        <f>SUM(I95:J95)</f>
        <v>50000</v>
      </c>
    </row>
    <row r="96" spans="1:11" ht="12.95" customHeight="1" x14ac:dyDescent="0.2">
      <c r="A96" s="157"/>
      <c r="B96" s="157"/>
      <c r="C96" s="144">
        <v>4410</v>
      </c>
      <c r="D96" s="191" t="s">
        <v>171</v>
      </c>
      <c r="E96" s="233">
        <v>1000</v>
      </c>
      <c r="F96" s="233"/>
      <c r="G96" s="241">
        <f>SUM(E96:F96)</f>
        <v>1000</v>
      </c>
      <c r="H96" s="233"/>
      <c r="I96" s="241">
        <f>SUM(G96:H96)</f>
        <v>1000</v>
      </c>
      <c r="J96" s="233"/>
      <c r="K96" s="241">
        <f>SUM(I96:J96)</f>
        <v>1000</v>
      </c>
    </row>
    <row r="97" spans="1:11" ht="12.95" customHeight="1" x14ac:dyDescent="0.2">
      <c r="A97" s="157"/>
      <c r="B97" s="157"/>
      <c r="C97" s="144">
        <v>4700</v>
      </c>
      <c r="D97" s="191" t="s">
        <v>173</v>
      </c>
      <c r="E97" s="233">
        <v>6000</v>
      </c>
      <c r="F97" s="233"/>
      <c r="G97" s="241">
        <f>SUM(E97:F97)</f>
        <v>6000</v>
      </c>
      <c r="H97" s="233"/>
      <c r="I97" s="241">
        <f>SUM(G97:H97)</f>
        <v>6000</v>
      </c>
      <c r="J97" s="233"/>
      <c r="K97" s="241">
        <f>SUM(I97:J97)</f>
        <v>6000</v>
      </c>
    </row>
    <row r="98" spans="1:11" ht="12.95" customHeight="1" x14ac:dyDescent="0.2">
      <c r="A98" s="157"/>
      <c r="B98" s="157"/>
      <c r="C98" s="303" t="s">
        <v>158</v>
      </c>
      <c r="D98" s="304"/>
      <c r="E98" s="261">
        <f t="shared" ref="E98:K98" si="37">SUM(E99)</f>
        <v>0</v>
      </c>
      <c r="F98" s="261">
        <f t="shared" si="37"/>
        <v>27000</v>
      </c>
      <c r="G98" s="261">
        <f t="shared" si="37"/>
        <v>27000</v>
      </c>
      <c r="H98" s="261">
        <f t="shared" si="37"/>
        <v>0</v>
      </c>
      <c r="I98" s="261">
        <f t="shared" si="37"/>
        <v>27000</v>
      </c>
      <c r="J98" s="261">
        <f t="shared" si="37"/>
        <v>0</v>
      </c>
      <c r="K98" s="261">
        <f t="shared" si="37"/>
        <v>27000</v>
      </c>
    </row>
    <row r="99" spans="1:11" ht="12.95" customHeight="1" x14ac:dyDescent="0.2">
      <c r="A99" s="157"/>
      <c r="B99" s="157"/>
      <c r="C99" s="144">
        <v>6060</v>
      </c>
      <c r="D99" s="191" t="s">
        <v>174</v>
      </c>
      <c r="E99" s="233"/>
      <c r="F99" s="233">
        <v>27000</v>
      </c>
      <c r="G99" s="241">
        <f>SUM(E99:F99)</f>
        <v>27000</v>
      </c>
      <c r="H99" s="233"/>
      <c r="I99" s="241">
        <f>SUM(G99:H99)</f>
        <v>27000</v>
      </c>
      <c r="J99" s="233"/>
      <c r="K99" s="241">
        <f>SUM(I99:J99)</f>
        <v>27000</v>
      </c>
    </row>
    <row r="100" spans="1:11" ht="12.95" customHeight="1" x14ac:dyDescent="0.2">
      <c r="A100" s="170">
        <v>750</v>
      </c>
      <c r="B100" s="170"/>
      <c r="C100" s="143"/>
      <c r="D100" s="189" t="s">
        <v>50</v>
      </c>
      <c r="E100" s="236">
        <f t="shared" ref="E100:K100" si="38">SUM(E101+E109+E112+E141+E150+E159)</f>
        <v>5981689</v>
      </c>
      <c r="F100" s="236">
        <f t="shared" si="38"/>
        <v>0</v>
      </c>
      <c r="G100" s="236">
        <f t="shared" si="38"/>
        <v>5981689</v>
      </c>
      <c r="H100" s="236">
        <f t="shared" si="38"/>
        <v>4000</v>
      </c>
      <c r="I100" s="236">
        <f t="shared" si="38"/>
        <v>5985689</v>
      </c>
      <c r="J100" s="236">
        <f t="shared" si="38"/>
        <v>0</v>
      </c>
      <c r="K100" s="236">
        <f t="shared" si="38"/>
        <v>5985689</v>
      </c>
    </row>
    <row r="101" spans="1:11" ht="12.95" customHeight="1" x14ac:dyDescent="0.2">
      <c r="A101" s="167"/>
      <c r="B101" s="167">
        <v>75011</v>
      </c>
      <c r="C101" s="146"/>
      <c r="D101" s="188" t="s">
        <v>187</v>
      </c>
      <c r="E101" s="234">
        <f t="shared" ref="E101:K101" si="39">SUM(E102+E107)</f>
        <v>111600</v>
      </c>
      <c r="F101" s="234">
        <f t="shared" si="39"/>
        <v>0</v>
      </c>
      <c r="G101" s="234">
        <f t="shared" si="39"/>
        <v>111600</v>
      </c>
      <c r="H101" s="234">
        <f t="shared" si="39"/>
        <v>0</v>
      </c>
      <c r="I101" s="234">
        <f t="shared" si="39"/>
        <v>111600</v>
      </c>
      <c r="J101" s="234">
        <f t="shared" si="39"/>
        <v>0</v>
      </c>
      <c r="K101" s="234">
        <f t="shared" si="39"/>
        <v>111600</v>
      </c>
    </row>
    <row r="102" spans="1:11" s="127" customFormat="1" ht="12.95" customHeight="1" x14ac:dyDescent="0.2">
      <c r="A102" s="168"/>
      <c r="B102" s="152"/>
      <c r="C102" s="299" t="s">
        <v>152</v>
      </c>
      <c r="D102" s="300"/>
      <c r="E102" s="232">
        <f t="shared" ref="E102:K102" si="40">SUM(E103:E106)</f>
        <v>111410</v>
      </c>
      <c r="F102" s="232">
        <f t="shared" si="40"/>
        <v>0</v>
      </c>
      <c r="G102" s="232">
        <f t="shared" si="40"/>
        <v>111410</v>
      </c>
      <c r="H102" s="232">
        <f t="shared" si="40"/>
        <v>0</v>
      </c>
      <c r="I102" s="232">
        <f t="shared" si="40"/>
        <v>111410</v>
      </c>
      <c r="J102" s="232">
        <f t="shared" si="40"/>
        <v>0</v>
      </c>
      <c r="K102" s="232">
        <f t="shared" si="40"/>
        <v>111410</v>
      </c>
    </row>
    <row r="103" spans="1:11" ht="12.95" customHeight="1" x14ac:dyDescent="0.2">
      <c r="A103" s="157"/>
      <c r="B103" s="157"/>
      <c r="C103" s="144">
        <v>4010</v>
      </c>
      <c r="D103" s="185" t="s">
        <v>176</v>
      </c>
      <c r="E103" s="233">
        <v>80659</v>
      </c>
      <c r="F103" s="233"/>
      <c r="G103" s="233">
        <f>SUM(E103:F103)</f>
        <v>80659</v>
      </c>
      <c r="H103" s="233"/>
      <c r="I103" s="233">
        <f>SUM(G103:H103)</f>
        <v>80659</v>
      </c>
      <c r="J103" s="233"/>
      <c r="K103" s="233">
        <f>SUM(I103:J103)</f>
        <v>80659</v>
      </c>
    </row>
    <row r="104" spans="1:11" ht="12.95" customHeight="1" x14ac:dyDescent="0.2">
      <c r="A104" s="157"/>
      <c r="B104" s="157"/>
      <c r="C104" s="144">
        <v>4040</v>
      </c>
      <c r="D104" s="185" t="s">
        <v>178</v>
      </c>
      <c r="E104" s="233">
        <v>13534</v>
      </c>
      <c r="F104" s="233"/>
      <c r="G104" s="233">
        <f>SUM(E104:F104)</f>
        <v>13534</v>
      </c>
      <c r="H104" s="233"/>
      <c r="I104" s="233">
        <f>SUM(G104:H104)</f>
        <v>13534</v>
      </c>
      <c r="J104" s="233"/>
      <c r="K104" s="233">
        <f>SUM(I104:J104)</f>
        <v>13534</v>
      </c>
    </row>
    <row r="105" spans="1:11" ht="12.95" customHeight="1" x14ac:dyDescent="0.2">
      <c r="A105" s="157"/>
      <c r="B105" s="157"/>
      <c r="C105" s="144">
        <v>4110</v>
      </c>
      <c r="D105" s="185" t="s">
        <v>179</v>
      </c>
      <c r="E105" s="233">
        <v>14800</v>
      </c>
      <c r="F105" s="233"/>
      <c r="G105" s="233">
        <f>SUM(E105:F105)</f>
        <v>14800</v>
      </c>
      <c r="H105" s="233"/>
      <c r="I105" s="233">
        <f>SUM(G105:H105)</f>
        <v>14800</v>
      </c>
      <c r="J105" s="233"/>
      <c r="K105" s="233">
        <f>SUM(I105:J105)</f>
        <v>14800</v>
      </c>
    </row>
    <row r="106" spans="1:11" ht="12.95" customHeight="1" x14ac:dyDescent="0.2">
      <c r="A106" s="157"/>
      <c r="B106" s="157"/>
      <c r="C106" s="144">
        <v>4120</v>
      </c>
      <c r="D106" s="185" t="s">
        <v>180</v>
      </c>
      <c r="E106" s="229">
        <v>2417</v>
      </c>
      <c r="F106" s="229"/>
      <c r="G106" s="233">
        <f>SUM(E106:F106)</f>
        <v>2417</v>
      </c>
      <c r="H106" s="229"/>
      <c r="I106" s="233">
        <f>SUM(G106:H106)</f>
        <v>2417</v>
      </c>
      <c r="J106" s="229"/>
      <c r="K106" s="233">
        <f>SUM(I106:J106)</f>
        <v>2417</v>
      </c>
    </row>
    <row r="107" spans="1:11" s="127" customFormat="1" ht="24.75" customHeight="1" x14ac:dyDescent="0.2">
      <c r="A107" s="168"/>
      <c r="B107" s="207"/>
      <c r="C107" s="292" t="s">
        <v>294</v>
      </c>
      <c r="D107" s="293"/>
      <c r="E107" s="228">
        <f t="shared" ref="E107:K107" si="41">SUM(E108)</f>
        <v>190</v>
      </c>
      <c r="F107" s="228">
        <f t="shared" si="41"/>
        <v>0</v>
      </c>
      <c r="G107" s="228">
        <f t="shared" si="41"/>
        <v>190</v>
      </c>
      <c r="H107" s="228">
        <f t="shared" si="41"/>
        <v>0</v>
      </c>
      <c r="I107" s="228">
        <f t="shared" si="41"/>
        <v>190</v>
      </c>
      <c r="J107" s="228">
        <f t="shared" si="41"/>
        <v>0</v>
      </c>
      <c r="K107" s="228">
        <f t="shared" si="41"/>
        <v>190</v>
      </c>
    </row>
    <row r="108" spans="1:11" ht="12.95" customHeight="1" x14ac:dyDescent="0.2">
      <c r="A108" s="157"/>
      <c r="B108" s="157"/>
      <c r="C108" s="145">
        <v>4210</v>
      </c>
      <c r="D108" s="192" t="s">
        <v>154</v>
      </c>
      <c r="E108" s="229">
        <v>190</v>
      </c>
      <c r="F108" s="229"/>
      <c r="G108" s="229">
        <f>SUM(E108:F108)</f>
        <v>190</v>
      </c>
      <c r="H108" s="229"/>
      <c r="I108" s="229">
        <f>SUM(G108:H108)</f>
        <v>190</v>
      </c>
      <c r="J108" s="229"/>
      <c r="K108" s="229">
        <f>SUM(I108:J108)</f>
        <v>190</v>
      </c>
    </row>
    <row r="109" spans="1:11" ht="12.95" customHeight="1" x14ac:dyDescent="0.2">
      <c r="A109" s="167"/>
      <c r="B109" s="167">
        <v>75019</v>
      </c>
      <c r="C109" s="146"/>
      <c r="D109" s="188" t="s">
        <v>188</v>
      </c>
      <c r="E109" s="234">
        <f t="shared" ref="E109:K110" si="42">SUM(E110)</f>
        <v>230273</v>
      </c>
      <c r="F109" s="234">
        <f t="shared" si="42"/>
        <v>0</v>
      </c>
      <c r="G109" s="234">
        <f t="shared" si="42"/>
        <v>230273</v>
      </c>
      <c r="H109" s="234">
        <f t="shared" si="42"/>
        <v>0</v>
      </c>
      <c r="I109" s="234">
        <f t="shared" si="42"/>
        <v>230273</v>
      </c>
      <c r="J109" s="234">
        <f t="shared" si="42"/>
        <v>0</v>
      </c>
      <c r="K109" s="234">
        <f t="shared" si="42"/>
        <v>230273</v>
      </c>
    </row>
    <row r="110" spans="1:11" s="127" customFormat="1" ht="11.25" x14ac:dyDescent="0.2">
      <c r="A110" s="168"/>
      <c r="B110" s="152"/>
      <c r="C110" s="299" t="s">
        <v>150</v>
      </c>
      <c r="D110" s="300"/>
      <c r="E110" s="228">
        <f t="shared" si="42"/>
        <v>230273</v>
      </c>
      <c r="F110" s="228">
        <f t="shared" si="42"/>
        <v>0</v>
      </c>
      <c r="G110" s="228">
        <f t="shared" si="42"/>
        <v>230273</v>
      </c>
      <c r="H110" s="228">
        <f t="shared" si="42"/>
        <v>0</v>
      </c>
      <c r="I110" s="228">
        <f t="shared" si="42"/>
        <v>230273</v>
      </c>
      <c r="J110" s="228">
        <f t="shared" si="42"/>
        <v>0</v>
      </c>
      <c r="K110" s="228">
        <f t="shared" si="42"/>
        <v>230273</v>
      </c>
    </row>
    <row r="111" spans="1:11" ht="12.95" customHeight="1" x14ac:dyDescent="0.2">
      <c r="A111" s="157"/>
      <c r="B111" s="157"/>
      <c r="C111" s="144">
        <v>3030</v>
      </c>
      <c r="D111" s="185" t="s">
        <v>151</v>
      </c>
      <c r="E111" s="233">
        <v>230273</v>
      </c>
      <c r="F111" s="233"/>
      <c r="G111" s="233">
        <f>SUM(E111:F111)</f>
        <v>230273</v>
      </c>
      <c r="H111" s="233"/>
      <c r="I111" s="233">
        <f>SUM(G111:H111)</f>
        <v>230273</v>
      </c>
      <c r="J111" s="233"/>
      <c r="K111" s="233">
        <f>SUM(I111:J111)</f>
        <v>230273</v>
      </c>
    </row>
    <row r="112" spans="1:11" ht="12.95" customHeight="1" x14ac:dyDescent="0.2">
      <c r="A112" s="167"/>
      <c r="B112" s="167">
        <v>75020</v>
      </c>
      <c r="C112" s="146"/>
      <c r="D112" s="188" t="s">
        <v>189</v>
      </c>
      <c r="E112" s="234">
        <f t="shared" ref="E112:K112" si="43">SUM(E113+E119+E121+E139)</f>
        <v>5516816</v>
      </c>
      <c r="F112" s="234">
        <f t="shared" si="43"/>
        <v>0</v>
      </c>
      <c r="G112" s="234">
        <f t="shared" si="43"/>
        <v>5516816</v>
      </c>
      <c r="H112" s="234">
        <f t="shared" si="43"/>
        <v>0</v>
      </c>
      <c r="I112" s="234">
        <f t="shared" si="43"/>
        <v>5516816</v>
      </c>
      <c r="J112" s="234">
        <f t="shared" si="43"/>
        <v>0</v>
      </c>
      <c r="K112" s="234">
        <f t="shared" si="43"/>
        <v>5516816</v>
      </c>
    </row>
    <row r="113" spans="1:11" s="127" customFormat="1" ht="12.95" customHeight="1" x14ac:dyDescent="0.2">
      <c r="A113" s="168"/>
      <c r="B113" s="152"/>
      <c r="C113" s="299" t="s">
        <v>152</v>
      </c>
      <c r="D113" s="300"/>
      <c r="E113" s="228">
        <f t="shared" ref="E113:K113" si="44">SUM(E114:E118)</f>
        <v>4441816</v>
      </c>
      <c r="F113" s="228">
        <f t="shared" si="44"/>
        <v>0</v>
      </c>
      <c r="G113" s="228">
        <f t="shared" si="44"/>
        <v>4441816</v>
      </c>
      <c r="H113" s="228">
        <f t="shared" si="44"/>
        <v>0</v>
      </c>
      <c r="I113" s="228">
        <f t="shared" si="44"/>
        <v>4441816</v>
      </c>
      <c r="J113" s="228">
        <f t="shared" si="44"/>
        <v>0</v>
      </c>
      <c r="K113" s="228">
        <f t="shared" si="44"/>
        <v>4441816</v>
      </c>
    </row>
    <row r="114" spans="1:11" ht="12.95" customHeight="1" x14ac:dyDescent="0.2">
      <c r="A114" s="157"/>
      <c r="B114" s="157"/>
      <c r="C114" s="144">
        <v>4010</v>
      </c>
      <c r="D114" s="185" t="s">
        <v>176</v>
      </c>
      <c r="E114" s="229">
        <v>3501436</v>
      </c>
      <c r="F114" s="229"/>
      <c r="G114" s="229">
        <f>SUM(E114:F114)</f>
        <v>3501436</v>
      </c>
      <c r="H114" s="229"/>
      <c r="I114" s="229">
        <f>SUM(G114:H114)</f>
        <v>3501436</v>
      </c>
      <c r="J114" s="229"/>
      <c r="K114" s="229">
        <f>SUM(I114:J114)</f>
        <v>3501436</v>
      </c>
    </row>
    <row r="115" spans="1:11" ht="12.95" customHeight="1" x14ac:dyDescent="0.2">
      <c r="A115" s="157"/>
      <c r="B115" s="157"/>
      <c r="C115" s="144">
        <v>4040</v>
      </c>
      <c r="D115" s="185" t="s">
        <v>178</v>
      </c>
      <c r="E115" s="229">
        <v>289320</v>
      </c>
      <c r="F115" s="229"/>
      <c r="G115" s="229">
        <f>SUM(E115:F115)</f>
        <v>289320</v>
      </c>
      <c r="H115" s="229"/>
      <c r="I115" s="229">
        <f>SUM(G115:H115)</f>
        <v>289320</v>
      </c>
      <c r="J115" s="229"/>
      <c r="K115" s="229">
        <f>SUM(I115:J115)</f>
        <v>289320</v>
      </c>
    </row>
    <row r="116" spans="1:11" ht="12.95" customHeight="1" x14ac:dyDescent="0.2">
      <c r="A116" s="157"/>
      <c r="B116" s="157"/>
      <c r="C116" s="144">
        <v>4110</v>
      </c>
      <c r="D116" s="185" t="s">
        <v>179</v>
      </c>
      <c r="E116" s="229">
        <v>505126</v>
      </c>
      <c r="F116" s="229"/>
      <c r="G116" s="229">
        <f>SUM(E116:F116)</f>
        <v>505126</v>
      </c>
      <c r="H116" s="229"/>
      <c r="I116" s="229">
        <f>SUM(G116:H116)</f>
        <v>505126</v>
      </c>
      <c r="J116" s="229"/>
      <c r="K116" s="229">
        <f>SUM(I116:J116)</f>
        <v>505126</v>
      </c>
    </row>
    <row r="117" spans="1:11" ht="12.95" customHeight="1" x14ac:dyDescent="0.2">
      <c r="A117" s="157"/>
      <c r="B117" s="157"/>
      <c r="C117" s="144">
        <v>4120</v>
      </c>
      <c r="D117" s="185" t="s">
        <v>180</v>
      </c>
      <c r="E117" s="229">
        <v>85934</v>
      </c>
      <c r="F117" s="229"/>
      <c r="G117" s="229">
        <f>SUM(E117:F117)</f>
        <v>85934</v>
      </c>
      <c r="H117" s="229"/>
      <c r="I117" s="229">
        <f>SUM(G117:H117)</f>
        <v>85934</v>
      </c>
      <c r="J117" s="229"/>
      <c r="K117" s="229">
        <f>SUM(I117:J117)</f>
        <v>85934</v>
      </c>
    </row>
    <row r="118" spans="1:11" ht="12.95" customHeight="1" x14ac:dyDescent="0.2">
      <c r="A118" s="157"/>
      <c r="B118" s="157"/>
      <c r="C118" s="144">
        <v>4170</v>
      </c>
      <c r="D118" s="192" t="s">
        <v>153</v>
      </c>
      <c r="E118" s="229">
        <v>60000</v>
      </c>
      <c r="F118" s="229"/>
      <c r="G118" s="229">
        <f>SUM(E118:F118)</f>
        <v>60000</v>
      </c>
      <c r="H118" s="229"/>
      <c r="I118" s="229">
        <f>SUM(G118:H118)</f>
        <v>60000</v>
      </c>
      <c r="J118" s="229"/>
      <c r="K118" s="229">
        <f>SUM(I118:J118)</f>
        <v>60000</v>
      </c>
    </row>
    <row r="119" spans="1:11" s="127" customFormat="1" ht="12.95" customHeight="1" x14ac:dyDescent="0.2">
      <c r="A119" s="168"/>
      <c r="B119" s="152"/>
      <c r="C119" s="299" t="s">
        <v>150</v>
      </c>
      <c r="D119" s="300"/>
      <c r="E119" s="232">
        <f t="shared" ref="E119:K119" si="45">SUM(E120)</f>
        <v>10000</v>
      </c>
      <c r="F119" s="232">
        <f t="shared" si="45"/>
        <v>0</v>
      </c>
      <c r="G119" s="232">
        <f t="shared" si="45"/>
        <v>10000</v>
      </c>
      <c r="H119" s="232">
        <f t="shared" si="45"/>
        <v>0</v>
      </c>
      <c r="I119" s="232">
        <f t="shared" si="45"/>
        <v>10000</v>
      </c>
      <c r="J119" s="232">
        <f t="shared" si="45"/>
        <v>0</v>
      </c>
      <c r="K119" s="232">
        <f t="shared" si="45"/>
        <v>10000</v>
      </c>
    </row>
    <row r="120" spans="1:11" ht="12.95" customHeight="1" x14ac:dyDescent="0.2">
      <c r="A120" s="157"/>
      <c r="B120" s="157"/>
      <c r="C120" s="144">
        <v>3020</v>
      </c>
      <c r="D120" s="192" t="s">
        <v>181</v>
      </c>
      <c r="E120" s="229">
        <v>10000</v>
      </c>
      <c r="F120" s="229"/>
      <c r="G120" s="229">
        <f>SUM(E120:F120)</f>
        <v>10000</v>
      </c>
      <c r="H120" s="229"/>
      <c r="I120" s="229">
        <f>SUM(G120:H120)</f>
        <v>10000</v>
      </c>
      <c r="J120" s="229"/>
      <c r="K120" s="229">
        <f>SUM(I120:J120)</f>
        <v>10000</v>
      </c>
    </row>
    <row r="121" spans="1:11" s="127" customFormat="1" ht="24" customHeight="1" x14ac:dyDescent="0.2">
      <c r="A121" s="168"/>
      <c r="B121" s="207"/>
      <c r="C121" s="292" t="s">
        <v>294</v>
      </c>
      <c r="D121" s="293"/>
      <c r="E121" s="228">
        <f t="shared" ref="E121:K121" si="46">SUM(E122:E138)</f>
        <v>1005000</v>
      </c>
      <c r="F121" s="228">
        <f t="shared" si="46"/>
        <v>0</v>
      </c>
      <c r="G121" s="228">
        <f t="shared" si="46"/>
        <v>1005000</v>
      </c>
      <c r="H121" s="228">
        <f t="shared" si="46"/>
        <v>0</v>
      </c>
      <c r="I121" s="228">
        <f t="shared" si="46"/>
        <v>1005000</v>
      </c>
      <c r="J121" s="228">
        <f t="shared" si="46"/>
        <v>0</v>
      </c>
      <c r="K121" s="228">
        <f t="shared" si="46"/>
        <v>1005000</v>
      </c>
    </row>
    <row r="122" spans="1:11" ht="12.95" customHeight="1" x14ac:dyDescent="0.2">
      <c r="A122" s="157"/>
      <c r="B122" s="157"/>
      <c r="C122" s="144">
        <v>4210</v>
      </c>
      <c r="D122" s="192" t="s">
        <v>154</v>
      </c>
      <c r="E122" s="229">
        <v>268498</v>
      </c>
      <c r="F122" s="229"/>
      <c r="G122" s="229">
        <f>SUM(E122:F122)</f>
        <v>268498</v>
      </c>
      <c r="H122" s="229"/>
      <c r="I122" s="229">
        <f>SUM(G122:H122)</f>
        <v>268498</v>
      </c>
      <c r="J122" s="229"/>
      <c r="K122" s="229">
        <f>SUM(I122:J122)</f>
        <v>268498</v>
      </c>
    </row>
    <row r="123" spans="1:11" ht="12.95" customHeight="1" x14ac:dyDescent="0.2">
      <c r="A123" s="157"/>
      <c r="B123" s="157"/>
      <c r="C123" s="144">
        <v>4260</v>
      </c>
      <c r="D123" s="185" t="s">
        <v>155</v>
      </c>
      <c r="E123" s="229">
        <v>150000</v>
      </c>
      <c r="F123" s="229"/>
      <c r="G123" s="229">
        <f t="shared" ref="G123:G138" si="47">SUM(E123:F123)</f>
        <v>150000</v>
      </c>
      <c r="H123" s="229"/>
      <c r="I123" s="229">
        <f t="shared" ref="I123:I138" si="48">SUM(G123:H123)</f>
        <v>150000</v>
      </c>
      <c r="J123" s="229"/>
      <c r="K123" s="229">
        <f t="shared" ref="K123:K138" si="49">SUM(I123:J123)</f>
        <v>150000</v>
      </c>
    </row>
    <row r="124" spans="1:11" ht="12.95" customHeight="1" x14ac:dyDescent="0.2">
      <c r="A124" s="157"/>
      <c r="B124" s="157"/>
      <c r="C124" s="144">
        <v>4270</v>
      </c>
      <c r="D124" s="185" t="s">
        <v>156</v>
      </c>
      <c r="E124" s="229">
        <v>88300</v>
      </c>
      <c r="F124" s="229"/>
      <c r="G124" s="229">
        <f t="shared" si="47"/>
        <v>88300</v>
      </c>
      <c r="H124" s="229"/>
      <c r="I124" s="229">
        <f t="shared" si="48"/>
        <v>88300</v>
      </c>
      <c r="J124" s="229"/>
      <c r="K124" s="229">
        <f t="shared" si="49"/>
        <v>88300</v>
      </c>
    </row>
    <row r="125" spans="1:11" ht="12.95" customHeight="1" x14ac:dyDescent="0.2">
      <c r="A125" s="157"/>
      <c r="B125" s="157"/>
      <c r="C125" s="144">
        <v>4280</v>
      </c>
      <c r="D125" s="191" t="s">
        <v>182</v>
      </c>
      <c r="E125" s="229">
        <v>4500</v>
      </c>
      <c r="F125" s="229"/>
      <c r="G125" s="229">
        <f t="shared" si="47"/>
        <v>4500</v>
      </c>
      <c r="H125" s="229">
        <f>1000</f>
        <v>1000</v>
      </c>
      <c r="I125" s="229">
        <f t="shared" si="48"/>
        <v>5500</v>
      </c>
      <c r="J125" s="229"/>
      <c r="K125" s="229">
        <f t="shared" si="49"/>
        <v>5500</v>
      </c>
    </row>
    <row r="126" spans="1:11" ht="12.95" customHeight="1" x14ac:dyDescent="0.2">
      <c r="A126" s="157"/>
      <c r="B126" s="157"/>
      <c r="C126" s="144">
        <v>4300</v>
      </c>
      <c r="D126" s="185" t="s">
        <v>145</v>
      </c>
      <c r="E126" s="229">
        <v>194306</v>
      </c>
      <c r="F126" s="229"/>
      <c r="G126" s="229">
        <f t="shared" si="47"/>
        <v>194306</v>
      </c>
      <c r="H126" s="229"/>
      <c r="I126" s="229">
        <f t="shared" si="48"/>
        <v>194306</v>
      </c>
      <c r="J126" s="229"/>
      <c r="K126" s="229">
        <f t="shared" si="49"/>
        <v>194306</v>
      </c>
    </row>
    <row r="127" spans="1:11" ht="12.95" customHeight="1" x14ac:dyDescent="0.2">
      <c r="A127" s="157"/>
      <c r="B127" s="157"/>
      <c r="C127" s="144">
        <v>4360</v>
      </c>
      <c r="D127" s="185" t="s">
        <v>184</v>
      </c>
      <c r="E127" s="229">
        <v>41867</v>
      </c>
      <c r="F127" s="229"/>
      <c r="G127" s="229">
        <f t="shared" si="47"/>
        <v>41867</v>
      </c>
      <c r="H127" s="229"/>
      <c r="I127" s="229">
        <f t="shared" si="48"/>
        <v>41867</v>
      </c>
      <c r="J127" s="229"/>
      <c r="K127" s="229">
        <f t="shared" si="49"/>
        <v>41867</v>
      </c>
    </row>
    <row r="128" spans="1:11" ht="12.95" customHeight="1" x14ac:dyDescent="0.2">
      <c r="A128" s="157"/>
      <c r="B128" s="157"/>
      <c r="C128" s="144">
        <v>4390</v>
      </c>
      <c r="D128" s="185" t="s">
        <v>170</v>
      </c>
      <c r="E128" s="229">
        <v>5000</v>
      </c>
      <c r="F128" s="229"/>
      <c r="G128" s="229">
        <f t="shared" si="47"/>
        <v>5000</v>
      </c>
      <c r="H128" s="229"/>
      <c r="I128" s="229">
        <f t="shared" si="48"/>
        <v>5000</v>
      </c>
      <c r="J128" s="229"/>
      <c r="K128" s="229">
        <f t="shared" si="49"/>
        <v>5000</v>
      </c>
    </row>
    <row r="129" spans="1:11" ht="12.95" customHeight="1" x14ac:dyDescent="0.2">
      <c r="A129" s="157"/>
      <c r="B129" s="157"/>
      <c r="C129" s="145">
        <v>4410</v>
      </c>
      <c r="D129" s="191" t="s">
        <v>171</v>
      </c>
      <c r="E129" s="229">
        <v>10000</v>
      </c>
      <c r="F129" s="229"/>
      <c r="G129" s="229">
        <f t="shared" si="47"/>
        <v>10000</v>
      </c>
      <c r="H129" s="229"/>
      <c r="I129" s="229">
        <f t="shared" si="48"/>
        <v>10000</v>
      </c>
      <c r="J129" s="229">
        <v>-800</v>
      </c>
      <c r="K129" s="229">
        <f t="shared" si="49"/>
        <v>9200</v>
      </c>
    </row>
    <row r="130" spans="1:11" ht="12.95" customHeight="1" x14ac:dyDescent="0.2">
      <c r="A130" s="157"/>
      <c r="B130" s="157"/>
      <c r="C130" s="145">
        <v>4420</v>
      </c>
      <c r="D130" s="191" t="s">
        <v>219</v>
      </c>
      <c r="E130" s="229"/>
      <c r="F130" s="229"/>
      <c r="G130" s="229"/>
      <c r="H130" s="229"/>
      <c r="I130" s="229"/>
      <c r="J130" s="229">
        <v>800</v>
      </c>
      <c r="K130" s="229">
        <f t="shared" si="49"/>
        <v>800</v>
      </c>
    </row>
    <row r="131" spans="1:11" ht="12.95" customHeight="1" x14ac:dyDescent="0.2">
      <c r="A131" s="157"/>
      <c r="B131" s="157"/>
      <c r="C131" s="144">
        <v>4430</v>
      </c>
      <c r="D131" s="185" t="s">
        <v>157</v>
      </c>
      <c r="E131" s="229">
        <v>79200</v>
      </c>
      <c r="F131" s="229"/>
      <c r="G131" s="229">
        <f t="shared" si="47"/>
        <v>79200</v>
      </c>
      <c r="H131" s="229">
        <f>-1000</f>
        <v>-1000</v>
      </c>
      <c r="I131" s="229">
        <f t="shared" si="48"/>
        <v>78200</v>
      </c>
      <c r="J131" s="229"/>
      <c r="K131" s="229">
        <f t="shared" si="49"/>
        <v>78200</v>
      </c>
    </row>
    <row r="132" spans="1:11" ht="12.95" customHeight="1" x14ac:dyDescent="0.2">
      <c r="A132" s="157"/>
      <c r="B132" s="157"/>
      <c r="C132" s="145">
        <v>4440</v>
      </c>
      <c r="D132" s="191" t="s">
        <v>186</v>
      </c>
      <c r="E132" s="229">
        <v>108521</v>
      </c>
      <c r="F132" s="229"/>
      <c r="G132" s="229">
        <f t="shared" si="47"/>
        <v>108521</v>
      </c>
      <c r="H132" s="229"/>
      <c r="I132" s="229">
        <f t="shared" si="48"/>
        <v>108521</v>
      </c>
      <c r="J132" s="229"/>
      <c r="K132" s="229">
        <f t="shared" si="49"/>
        <v>108521</v>
      </c>
    </row>
    <row r="133" spans="1:11" ht="12.95" customHeight="1" x14ac:dyDescent="0.2">
      <c r="A133" s="157"/>
      <c r="B133" s="157"/>
      <c r="C133" s="144">
        <v>4480</v>
      </c>
      <c r="D133" s="192" t="s">
        <v>172</v>
      </c>
      <c r="E133" s="229">
        <v>100</v>
      </c>
      <c r="F133" s="229"/>
      <c r="G133" s="229">
        <f t="shared" si="47"/>
        <v>100</v>
      </c>
      <c r="H133" s="229"/>
      <c r="I133" s="229">
        <f t="shared" si="48"/>
        <v>100</v>
      </c>
      <c r="J133" s="229"/>
      <c r="K133" s="229">
        <f t="shared" si="49"/>
        <v>100</v>
      </c>
    </row>
    <row r="134" spans="1:11" ht="12.95" customHeight="1" x14ac:dyDescent="0.2">
      <c r="A134" s="157"/>
      <c r="B134" s="157"/>
      <c r="C134" s="144">
        <v>4500</v>
      </c>
      <c r="D134" s="192" t="s">
        <v>190</v>
      </c>
      <c r="E134" s="229">
        <v>2000</v>
      </c>
      <c r="F134" s="229"/>
      <c r="G134" s="229">
        <f t="shared" si="47"/>
        <v>2000</v>
      </c>
      <c r="H134" s="229"/>
      <c r="I134" s="229">
        <f t="shared" si="48"/>
        <v>2000</v>
      </c>
      <c r="J134" s="229"/>
      <c r="K134" s="229">
        <f t="shared" si="49"/>
        <v>2000</v>
      </c>
    </row>
    <row r="135" spans="1:11" ht="12.95" customHeight="1" x14ac:dyDescent="0.2">
      <c r="A135" s="157"/>
      <c r="B135" s="157"/>
      <c r="C135" s="144">
        <v>4520</v>
      </c>
      <c r="D135" s="192" t="s">
        <v>295</v>
      </c>
      <c r="E135" s="229">
        <v>360</v>
      </c>
      <c r="F135" s="229"/>
      <c r="G135" s="229">
        <f t="shared" si="47"/>
        <v>360</v>
      </c>
      <c r="H135" s="229"/>
      <c r="I135" s="229">
        <f t="shared" si="48"/>
        <v>360</v>
      </c>
      <c r="J135" s="229"/>
      <c r="K135" s="229">
        <f t="shared" si="49"/>
        <v>360</v>
      </c>
    </row>
    <row r="136" spans="1:11" ht="12.95" customHeight="1" x14ac:dyDescent="0.2">
      <c r="A136" s="157"/>
      <c r="B136" s="157"/>
      <c r="C136" s="144">
        <v>4530</v>
      </c>
      <c r="D136" s="192" t="s">
        <v>300</v>
      </c>
      <c r="E136" s="229">
        <v>2000</v>
      </c>
      <c r="F136" s="229"/>
      <c r="G136" s="229">
        <f t="shared" si="47"/>
        <v>2000</v>
      </c>
      <c r="H136" s="229"/>
      <c r="I136" s="229">
        <f t="shared" si="48"/>
        <v>2000</v>
      </c>
      <c r="J136" s="229"/>
      <c r="K136" s="229">
        <f t="shared" si="49"/>
        <v>2000</v>
      </c>
    </row>
    <row r="137" spans="1:11" ht="12.95" customHeight="1" x14ac:dyDescent="0.2">
      <c r="A137" s="157"/>
      <c r="B137" s="157"/>
      <c r="C137" s="144">
        <v>4610</v>
      </c>
      <c r="D137" s="192" t="s">
        <v>164</v>
      </c>
      <c r="E137" s="229">
        <v>24348</v>
      </c>
      <c r="F137" s="229"/>
      <c r="G137" s="229">
        <f t="shared" si="47"/>
        <v>24348</v>
      </c>
      <c r="H137" s="229"/>
      <c r="I137" s="229">
        <f t="shared" si="48"/>
        <v>24348</v>
      </c>
      <c r="J137" s="229"/>
      <c r="K137" s="229">
        <f t="shared" si="49"/>
        <v>24348</v>
      </c>
    </row>
    <row r="138" spans="1:11" ht="12.95" customHeight="1" x14ac:dyDescent="0.2">
      <c r="A138" s="157"/>
      <c r="B138" s="157"/>
      <c r="C138" s="144">
        <v>4700</v>
      </c>
      <c r="D138" s="185" t="s">
        <v>173</v>
      </c>
      <c r="E138" s="229">
        <v>26000</v>
      </c>
      <c r="F138" s="229"/>
      <c r="G138" s="229">
        <f t="shared" si="47"/>
        <v>26000</v>
      </c>
      <c r="H138" s="229"/>
      <c r="I138" s="229">
        <f t="shared" si="48"/>
        <v>26000</v>
      </c>
      <c r="J138" s="229"/>
      <c r="K138" s="229">
        <f t="shared" si="49"/>
        <v>26000</v>
      </c>
    </row>
    <row r="139" spans="1:11" s="127" customFormat="1" ht="12.95" customHeight="1" x14ac:dyDescent="0.2">
      <c r="A139" s="168"/>
      <c r="B139" s="152"/>
      <c r="C139" s="299" t="s">
        <v>158</v>
      </c>
      <c r="D139" s="300"/>
      <c r="E139" s="228">
        <f t="shared" ref="E139:K139" si="50">SUM(E140:E140)</f>
        <v>60000</v>
      </c>
      <c r="F139" s="228">
        <f t="shared" si="50"/>
        <v>0</v>
      </c>
      <c r="G139" s="228">
        <f t="shared" si="50"/>
        <v>60000</v>
      </c>
      <c r="H139" s="228">
        <f t="shared" si="50"/>
        <v>0</v>
      </c>
      <c r="I139" s="228">
        <f t="shared" si="50"/>
        <v>60000</v>
      </c>
      <c r="J139" s="228">
        <f t="shared" si="50"/>
        <v>0</v>
      </c>
      <c r="K139" s="228">
        <f t="shared" si="50"/>
        <v>60000</v>
      </c>
    </row>
    <row r="140" spans="1:11" ht="12.95" customHeight="1" x14ac:dyDescent="0.2">
      <c r="A140" s="157"/>
      <c r="B140" s="157"/>
      <c r="C140" s="144">
        <v>6060</v>
      </c>
      <c r="D140" s="192" t="s">
        <v>174</v>
      </c>
      <c r="E140" s="229">
        <v>60000</v>
      </c>
      <c r="F140" s="229"/>
      <c r="G140" s="229">
        <f>SUM(E140:F140)</f>
        <v>60000</v>
      </c>
      <c r="H140" s="229"/>
      <c r="I140" s="229">
        <f>SUM(G140:H140)</f>
        <v>60000</v>
      </c>
      <c r="J140" s="229"/>
      <c r="K140" s="229">
        <f>SUM(I140:J140)</f>
        <v>60000</v>
      </c>
    </row>
    <row r="141" spans="1:11" ht="12.95" customHeight="1" x14ac:dyDescent="0.2">
      <c r="A141" s="167"/>
      <c r="B141" s="167">
        <v>75045</v>
      </c>
      <c r="C141" s="146"/>
      <c r="D141" s="188" t="s">
        <v>58</v>
      </c>
      <c r="E141" s="234">
        <f t="shared" ref="E141:K141" si="51">SUM(E142,E146)</f>
        <v>23000</v>
      </c>
      <c r="F141" s="234">
        <f t="shared" si="51"/>
        <v>0</v>
      </c>
      <c r="G141" s="234">
        <f t="shared" si="51"/>
        <v>23000</v>
      </c>
      <c r="H141" s="234">
        <f t="shared" si="51"/>
        <v>0</v>
      </c>
      <c r="I141" s="234">
        <f t="shared" si="51"/>
        <v>23000</v>
      </c>
      <c r="J141" s="234">
        <f t="shared" si="51"/>
        <v>0</v>
      </c>
      <c r="K141" s="234">
        <f t="shared" si="51"/>
        <v>23000</v>
      </c>
    </row>
    <row r="142" spans="1:11" s="127" customFormat="1" ht="12.95" customHeight="1" x14ac:dyDescent="0.2">
      <c r="A142" s="168"/>
      <c r="B142" s="152"/>
      <c r="C142" s="299" t="s">
        <v>152</v>
      </c>
      <c r="D142" s="300"/>
      <c r="E142" s="228">
        <f t="shared" ref="E142:K142" si="52">SUM(E143:E145)</f>
        <v>12599</v>
      </c>
      <c r="F142" s="228">
        <f t="shared" si="52"/>
        <v>0</v>
      </c>
      <c r="G142" s="228">
        <f t="shared" si="52"/>
        <v>12599</v>
      </c>
      <c r="H142" s="228">
        <f t="shared" si="52"/>
        <v>0</v>
      </c>
      <c r="I142" s="228">
        <f t="shared" si="52"/>
        <v>12599</v>
      </c>
      <c r="J142" s="228">
        <f t="shared" si="52"/>
        <v>0</v>
      </c>
      <c r="K142" s="228">
        <f t="shared" si="52"/>
        <v>12599</v>
      </c>
    </row>
    <row r="143" spans="1:11" ht="12.95" customHeight="1" x14ac:dyDescent="0.2">
      <c r="A143" s="157"/>
      <c r="B143" s="157"/>
      <c r="C143" s="144">
        <v>4110</v>
      </c>
      <c r="D143" s="185" t="s">
        <v>179</v>
      </c>
      <c r="E143" s="229">
        <v>1230</v>
      </c>
      <c r="F143" s="229"/>
      <c r="G143" s="229">
        <f>SUM(E143:F143)</f>
        <v>1230</v>
      </c>
      <c r="H143" s="229"/>
      <c r="I143" s="229">
        <f>SUM(G143:H143)</f>
        <v>1230</v>
      </c>
      <c r="J143" s="229"/>
      <c r="K143" s="229">
        <f>SUM(I143:J143)</f>
        <v>1230</v>
      </c>
    </row>
    <row r="144" spans="1:11" ht="12.95" customHeight="1" x14ac:dyDescent="0.2">
      <c r="A144" s="157"/>
      <c r="B144" s="157"/>
      <c r="C144" s="144">
        <v>4120</v>
      </c>
      <c r="D144" s="185" t="s">
        <v>180</v>
      </c>
      <c r="E144" s="229">
        <v>176</v>
      </c>
      <c r="F144" s="229"/>
      <c r="G144" s="229">
        <f>SUM(E144:F144)</f>
        <v>176</v>
      </c>
      <c r="H144" s="229"/>
      <c r="I144" s="229">
        <f>SUM(G144:H144)</f>
        <v>176</v>
      </c>
      <c r="J144" s="229"/>
      <c r="K144" s="229">
        <f>SUM(I144:J144)</f>
        <v>176</v>
      </c>
    </row>
    <row r="145" spans="1:11" ht="12.95" customHeight="1" x14ac:dyDescent="0.2">
      <c r="A145" s="157"/>
      <c r="B145" s="157"/>
      <c r="C145" s="144">
        <v>4170</v>
      </c>
      <c r="D145" s="192" t="s">
        <v>153</v>
      </c>
      <c r="E145" s="229">
        <f>4000+7193</f>
        <v>11193</v>
      </c>
      <c r="F145" s="229"/>
      <c r="G145" s="229">
        <f>SUM(E145:F145)</f>
        <v>11193</v>
      </c>
      <c r="H145" s="229"/>
      <c r="I145" s="229">
        <f>SUM(G145:H145)</f>
        <v>11193</v>
      </c>
      <c r="J145" s="229"/>
      <c r="K145" s="229">
        <f>SUM(I145:J145)</f>
        <v>11193</v>
      </c>
    </row>
    <row r="146" spans="1:11" s="127" customFormat="1" ht="23.25" customHeight="1" x14ac:dyDescent="0.2">
      <c r="A146" s="168"/>
      <c r="B146" s="207"/>
      <c r="C146" s="292" t="s">
        <v>294</v>
      </c>
      <c r="D146" s="293"/>
      <c r="E146" s="228">
        <f t="shared" ref="E146:K146" si="53">SUM(E147:E149)</f>
        <v>10401</v>
      </c>
      <c r="F146" s="228">
        <f t="shared" si="53"/>
        <v>0</v>
      </c>
      <c r="G146" s="228">
        <f t="shared" si="53"/>
        <v>10401</v>
      </c>
      <c r="H146" s="228">
        <f t="shared" si="53"/>
        <v>0</v>
      </c>
      <c r="I146" s="228">
        <f t="shared" si="53"/>
        <v>10401</v>
      </c>
      <c r="J146" s="228">
        <f t="shared" si="53"/>
        <v>0</v>
      </c>
      <c r="K146" s="228">
        <f t="shared" si="53"/>
        <v>10401</v>
      </c>
    </row>
    <row r="147" spans="1:11" ht="12.95" customHeight="1" x14ac:dyDescent="0.2">
      <c r="A147" s="157"/>
      <c r="B147" s="157"/>
      <c r="C147" s="144">
        <v>4210</v>
      </c>
      <c r="D147" s="192" t="s">
        <v>154</v>
      </c>
      <c r="E147" s="229">
        <v>1371</v>
      </c>
      <c r="F147" s="229"/>
      <c r="G147" s="229">
        <f>SUM(E147:F147)</f>
        <v>1371</v>
      </c>
      <c r="H147" s="229"/>
      <c r="I147" s="229">
        <f>SUM(G147:H147)</f>
        <v>1371</v>
      </c>
      <c r="J147" s="229"/>
      <c r="K147" s="229">
        <f>SUM(I147:J147)</f>
        <v>1371</v>
      </c>
    </row>
    <row r="148" spans="1:11" x14ac:dyDescent="0.2">
      <c r="A148" s="157"/>
      <c r="B148" s="157"/>
      <c r="C148" s="144">
        <v>4230</v>
      </c>
      <c r="D148" s="192" t="s">
        <v>191</v>
      </c>
      <c r="E148" s="229">
        <v>30</v>
      </c>
      <c r="F148" s="229"/>
      <c r="G148" s="229">
        <f>SUM(E148:F148)</f>
        <v>30</v>
      </c>
      <c r="H148" s="229"/>
      <c r="I148" s="229">
        <f>SUM(G148:H148)</f>
        <v>30</v>
      </c>
      <c r="J148" s="229"/>
      <c r="K148" s="229">
        <f>SUM(I148:J148)</f>
        <v>30</v>
      </c>
    </row>
    <row r="149" spans="1:11" ht="12.95" customHeight="1" x14ac:dyDescent="0.2">
      <c r="A149" s="157"/>
      <c r="B149" s="157"/>
      <c r="C149" s="144">
        <v>4280</v>
      </c>
      <c r="D149" s="192" t="s">
        <v>182</v>
      </c>
      <c r="E149" s="229">
        <f>9000</f>
        <v>9000</v>
      </c>
      <c r="F149" s="229"/>
      <c r="G149" s="229">
        <f>SUM(E149:F149)</f>
        <v>9000</v>
      </c>
      <c r="H149" s="229"/>
      <c r="I149" s="229">
        <f>SUM(G149:H149)</f>
        <v>9000</v>
      </c>
      <c r="J149" s="229"/>
      <c r="K149" s="229">
        <f>SUM(I149:J149)</f>
        <v>9000</v>
      </c>
    </row>
    <row r="150" spans="1:11" x14ac:dyDescent="0.2">
      <c r="A150" s="167"/>
      <c r="B150" s="167">
        <v>75075</v>
      </c>
      <c r="C150" s="146"/>
      <c r="D150" s="188" t="s">
        <v>192</v>
      </c>
      <c r="E150" s="234">
        <f t="shared" ref="E150:K150" si="54">SUM(E151+E154+E156)</f>
        <v>90000</v>
      </c>
      <c r="F150" s="234">
        <f t="shared" si="54"/>
        <v>0</v>
      </c>
      <c r="G150" s="234">
        <f t="shared" si="54"/>
        <v>90000</v>
      </c>
      <c r="H150" s="234">
        <f t="shared" si="54"/>
        <v>4000</v>
      </c>
      <c r="I150" s="234">
        <f t="shared" si="54"/>
        <v>94000</v>
      </c>
      <c r="J150" s="234">
        <f t="shared" si="54"/>
        <v>0</v>
      </c>
      <c r="K150" s="234">
        <f t="shared" si="54"/>
        <v>94000</v>
      </c>
    </row>
    <row r="151" spans="1:11" x14ac:dyDescent="0.2">
      <c r="A151" s="168"/>
      <c r="B151" s="152"/>
      <c r="C151" s="299" t="s">
        <v>152</v>
      </c>
      <c r="D151" s="300"/>
      <c r="E151" s="228">
        <f>SUM(E153)</f>
        <v>36000</v>
      </c>
      <c r="F151" s="228">
        <f>SUM(F153)</f>
        <v>0</v>
      </c>
      <c r="G151" s="228">
        <f>SUM(G153)</f>
        <v>36000</v>
      </c>
      <c r="H151" s="228">
        <f>SUM(H153)</f>
        <v>0</v>
      </c>
      <c r="I151" s="228">
        <f>SUM(I152:I153)</f>
        <v>36000</v>
      </c>
      <c r="J151" s="228">
        <f>SUM(J152:J153)</f>
        <v>-20000</v>
      </c>
      <c r="K151" s="228">
        <f>SUM(K152:K153)</f>
        <v>16000</v>
      </c>
    </row>
    <row r="152" spans="1:11" x14ac:dyDescent="0.2">
      <c r="A152" s="168"/>
      <c r="B152" s="152"/>
      <c r="C152" s="263">
        <v>4110</v>
      </c>
      <c r="D152" s="262" t="s">
        <v>179</v>
      </c>
      <c r="E152" s="228"/>
      <c r="F152" s="228"/>
      <c r="G152" s="228"/>
      <c r="H152" s="228"/>
      <c r="I152" s="269"/>
      <c r="J152" s="269">
        <v>1548</v>
      </c>
      <c r="K152" s="269">
        <f>SUM(I152:J152)</f>
        <v>1548</v>
      </c>
    </row>
    <row r="153" spans="1:11" x14ac:dyDescent="0.2">
      <c r="A153" s="157"/>
      <c r="B153" s="157"/>
      <c r="C153" s="144">
        <v>4170</v>
      </c>
      <c r="D153" s="192" t="s">
        <v>153</v>
      </c>
      <c r="E153" s="229">
        <v>36000</v>
      </c>
      <c r="F153" s="229"/>
      <c r="G153" s="229">
        <f>SUM(E153:F153)</f>
        <v>36000</v>
      </c>
      <c r="H153" s="229"/>
      <c r="I153" s="229">
        <f>SUM(G153:H153)</f>
        <v>36000</v>
      </c>
      <c r="J153" s="229">
        <f>-20000-1548</f>
        <v>-21548</v>
      </c>
      <c r="K153" s="229">
        <f>SUM(I153:J153)</f>
        <v>14452</v>
      </c>
    </row>
    <row r="154" spans="1:11" ht="12.95" customHeight="1" x14ac:dyDescent="0.2">
      <c r="A154" s="168"/>
      <c r="B154" s="152"/>
      <c r="C154" s="299" t="s">
        <v>167</v>
      </c>
      <c r="D154" s="300"/>
      <c r="E154" s="228">
        <f t="shared" ref="E154:K154" si="55">SUM(E155)</f>
        <v>7000</v>
      </c>
      <c r="F154" s="228">
        <f t="shared" si="55"/>
        <v>0</v>
      </c>
      <c r="G154" s="228">
        <f t="shared" si="55"/>
        <v>7000</v>
      </c>
      <c r="H154" s="228">
        <f t="shared" si="55"/>
        <v>0</v>
      </c>
      <c r="I154" s="228">
        <f t="shared" si="55"/>
        <v>7000</v>
      </c>
      <c r="J154" s="228">
        <f t="shared" si="55"/>
        <v>0</v>
      </c>
      <c r="K154" s="228">
        <f t="shared" si="55"/>
        <v>7000</v>
      </c>
    </row>
    <row r="155" spans="1:11" ht="12.95" customHeight="1" x14ac:dyDescent="0.2">
      <c r="A155" s="157"/>
      <c r="B155" s="157"/>
      <c r="C155" s="144">
        <v>2710</v>
      </c>
      <c r="D155" s="192" t="s">
        <v>160</v>
      </c>
      <c r="E155" s="229">
        <v>7000</v>
      </c>
      <c r="F155" s="229"/>
      <c r="G155" s="229">
        <f>SUM(E155:F155)</f>
        <v>7000</v>
      </c>
      <c r="H155" s="229"/>
      <c r="I155" s="229">
        <f>SUM(G155:H155)</f>
        <v>7000</v>
      </c>
      <c r="J155" s="229"/>
      <c r="K155" s="229">
        <f>SUM(I155:J155)</f>
        <v>7000</v>
      </c>
    </row>
    <row r="156" spans="1:11" ht="25.5" customHeight="1" x14ac:dyDescent="0.2">
      <c r="A156" s="168"/>
      <c r="B156" s="207"/>
      <c r="C156" s="292" t="s">
        <v>294</v>
      </c>
      <c r="D156" s="293"/>
      <c r="E156" s="228">
        <f t="shared" ref="E156:K156" si="56">SUM(E157:E158)</f>
        <v>47000</v>
      </c>
      <c r="F156" s="228">
        <f t="shared" si="56"/>
        <v>0</v>
      </c>
      <c r="G156" s="228">
        <f t="shared" si="56"/>
        <v>47000</v>
      </c>
      <c r="H156" s="228">
        <f t="shared" si="56"/>
        <v>4000</v>
      </c>
      <c r="I156" s="228">
        <f t="shared" si="56"/>
        <v>51000</v>
      </c>
      <c r="J156" s="228">
        <f t="shared" si="56"/>
        <v>20000</v>
      </c>
      <c r="K156" s="228">
        <f t="shared" si="56"/>
        <v>71000</v>
      </c>
    </row>
    <row r="157" spans="1:11" ht="12.75" customHeight="1" x14ac:dyDescent="0.2">
      <c r="A157" s="157"/>
      <c r="B157" s="157"/>
      <c r="C157" s="144">
        <v>4210</v>
      </c>
      <c r="D157" s="192" t="s">
        <v>154</v>
      </c>
      <c r="E157" s="229">
        <v>14000</v>
      </c>
      <c r="F157" s="229"/>
      <c r="G157" s="229">
        <f>SUM(E157:F157)</f>
        <v>14000</v>
      </c>
      <c r="H157" s="229"/>
      <c r="I157" s="229">
        <f>SUM(G157:H157)</f>
        <v>14000</v>
      </c>
      <c r="J157" s="229"/>
      <c r="K157" s="229">
        <f>SUM(I157:J157)</f>
        <v>14000</v>
      </c>
    </row>
    <row r="158" spans="1:11" ht="12.95" customHeight="1" x14ac:dyDescent="0.2">
      <c r="A158" s="157"/>
      <c r="B158" s="157"/>
      <c r="C158" s="144">
        <v>4300</v>
      </c>
      <c r="D158" s="185" t="s">
        <v>145</v>
      </c>
      <c r="E158" s="229">
        <v>33000</v>
      </c>
      <c r="F158" s="229"/>
      <c r="G158" s="229">
        <f>SUM(E158:F158)</f>
        <v>33000</v>
      </c>
      <c r="H158" s="229">
        <f>4000</f>
        <v>4000</v>
      </c>
      <c r="I158" s="229">
        <f>SUM(G158:H158)</f>
        <v>37000</v>
      </c>
      <c r="J158" s="229">
        <v>20000</v>
      </c>
      <c r="K158" s="229">
        <f>SUM(I158:J158)</f>
        <v>57000</v>
      </c>
    </row>
    <row r="159" spans="1:11" ht="12.95" customHeight="1" x14ac:dyDescent="0.2">
      <c r="A159" s="167"/>
      <c r="B159" s="167">
        <v>75095</v>
      </c>
      <c r="C159" s="146"/>
      <c r="D159" s="188" t="s">
        <v>65</v>
      </c>
      <c r="E159" s="234">
        <f t="shared" ref="E159:K160" si="57">SUM(E160)</f>
        <v>10000</v>
      </c>
      <c r="F159" s="234">
        <f t="shared" si="57"/>
        <v>0</v>
      </c>
      <c r="G159" s="234">
        <f t="shared" si="57"/>
        <v>10000</v>
      </c>
      <c r="H159" s="234">
        <f t="shared" si="57"/>
        <v>0</v>
      </c>
      <c r="I159" s="234">
        <f t="shared" si="57"/>
        <v>10000</v>
      </c>
      <c r="J159" s="234">
        <f t="shared" si="57"/>
        <v>0</v>
      </c>
      <c r="K159" s="234">
        <f t="shared" si="57"/>
        <v>10000</v>
      </c>
    </row>
    <row r="160" spans="1:11" ht="21.75" customHeight="1" x14ac:dyDescent="0.2">
      <c r="A160" s="157"/>
      <c r="B160" s="157"/>
      <c r="C160" s="321" t="s">
        <v>294</v>
      </c>
      <c r="D160" s="322"/>
      <c r="E160" s="235">
        <f t="shared" si="57"/>
        <v>10000</v>
      </c>
      <c r="F160" s="235">
        <f t="shared" si="57"/>
        <v>0</v>
      </c>
      <c r="G160" s="235">
        <f t="shared" si="57"/>
        <v>10000</v>
      </c>
      <c r="H160" s="235">
        <f t="shared" si="57"/>
        <v>0</v>
      </c>
      <c r="I160" s="235">
        <f t="shared" si="57"/>
        <v>10000</v>
      </c>
      <c r="J160" s="235">
        <f t="shared" si="57"/>
        <v>0</v>
      </c>
      <c r="K160" s="235">
        <f t="shared" si="57"/>
        <v>10000</v>
      </c>
    </row>
    <row r="161" spans="1:11" ht="12.95" customHeight="1" x14ac:dyDescent="0.2">
      <c r="A161" s="157"/>
      <c r="B161" s="157"/>
      <c r="C161" s="144">
        <v>4300</v>
      </c>
      <c r="D161" s="185" t="s">
        <v>145</v>
      </c>
      <c r="E161" s="229">
        <v>10000</v>
      </c>
      <c r="F161" s="229"/>
      <c r="G161" s="229">
        <f>SUM(E161:F161)</f>
        <v>10000</v>
      </c>
      <c r="H161" s="229"/>
      <c r="I161" s="229">
        <f>SUM(G161:H161)</f>
        <v>10000</v>
      </c>
      <c r="J161" s="229"/>
      <c r="K161" s="229">
        <f>SUM(I161:J161)</f>
        <v>10000</v>
      </c>
    </row>
    <row r="162" spans="1:11" ht="12.95" customHeight="1" x14ac:dyDescent="0.2">
      <c r="A162" s="170">
        <v>754</v>
      </c>
      <c r="B162" s="170"/>
      <c r="C162" s="143"/>
      <c r="D162" s="189" t="s">
        <v>61</v>
      </c>
      <c r="E162" s="236">
        <f t="shared" ref="E162:K162" si="58">SUM(E163+E195)</f>
        <v>4858300</v>
      </c>
      <c r="F162" s="236">
        <f t="shared" si="58"/>
        <v>4000</v>
      </c>
      <c r="G162" s="236">
        <f t="shared" si="58"/>
        <v>4862300</v>
      </c>
      <c r="H162" s="236">
        <f t="shared" si="58"/>
        <v>14436</v>
      </c>
      <c r="I162" s="236">
        <f t="shared" si="58"/>
        <v>4876736</v>
      </c>
      <c r="J162" s="236">
        <f t="shared" si="58"/>
        <v>0</v>
      </c>
      <c r="K162" s="236">
        <f t="shared" si="58"/>
        <v>4876736</v>
      </c>
    </row>
    <row r="163" spans="1:11" ht="12.95" customHeight="1" x14ac:dyDescent="0.2">
      <c r="A163" s="167"/>
      <c r="B163" s="167">
        <v>75411</v>
      </c>
      <c r="C163" s="146"/>
      <c r="D163" s="188" t="s">
        <v>193</v>
      </c>
      <c r="E163" s="234">
        <f t="shared" ref="E163:K163" si="59">SUM(E164,E176,E178,E193)</f>
        <v>4843300</v>
      </c>
      <c r="F163" s="234">
        <f t="shared" si="59"/>
        <v>0</v>
      </c>
      <c r="G163" s="234">
        <f t="shared" si="59"/>
        <v>4843300</v>
      </c>
      <c r="H163" s="234">
        <f t="shared" si="59"/>
        <v>14436</v>
      </c>
      <c r="I163" s="234">
        <f t="shared" si="59"/>
        <v>4857736</v>
      </c>
      <c r="J163" s="234">
        <f t="shared" si="59"/>
        <v>0</v>
      </c>
      <c r="K163" s="234">
        <f t="shared" si="59"/>
        <v>4857736</v>
      </c>
    </row>
    <row r="164" spans="1:11" ht="12.95" customHeight="1" x14ac:dyDescent="0.2">
      <c r="A164" s="171"/>
      <c r="B164" s="152"/>
      <c r="C164" s="299" t="s">
        <v>152</v>
      </c>
      <c r="D164" s="300"/>
      <c r="E164" s="232">
        <f t="shared" ref="E164:K164" si="60">SUM(E165:E175)</f>
        <v>4238600</v>
      </c>
      <c r="F164" s="232">
        <f t="shared" si="60"/>
        <v>0</v>
      </c>
      <c r="G164" s="232">
        <f t="shared" si="60"/>
        <v>4238600</v>
      </c>
      <c r="H164" s="232">
        <f t="shared" si="60"/>
        <v>13736</v>
      </c>
      <c r="I164" s="232">
        <f t="shared" si="60"/>
        <v>4252336</v>
      </c>
      <c r="J164" s="232">
        <f t="shared" si="60"/>
        <v>0</v>
      </c>
      <c r="K164" s="232">
        <f t="shared" si="60"/>
        <v>4252336</v>
      </c>
    </row>
    <row r="165" spans="1:11" ht="12.95" customHeight="1" x14ac:dyDescent="0.2">
      <c r="A165" s="172"/>
      <c r="B165" s="172"/>
      <c r="C165" s="144">
        <v>4010</v>
      </c>
      <c r="D165" s="185" t="s">
        <v>176</v>
      </c>
      <c r="E165" s="233">
        <v>28360</v>
      </c>
      <c r="F165" s="233"/>
      <c r="G165" s="233">
        <f>SUM(E165:F165)</f>
        <v>28360</v>
      </c>
      <c r="H165" s="233">
        <f>2103</f>
        <v>2103</v>
      </c>
      <c r="I165" s="233">
        <f>SUM(G165:H165)</f>
        <v>30463</v>
      </c>
      <c r="J165" s="233"/>
      <c r="K165" s="233">
        <f>SUM(I165:J165)</f>
        <v>30463</v>
      </c>
    </row>
    <row r="166" spans="1:11" ht="12.95" customHeight="1" x14ac:dyDescent="0.2">
      <c r="A166" s="172"/>
      <c r="B166" s="172"/>
      <c r="C166" s="145">
        <v>4020</v>
      </c>
      <c r="D166" s="191" t="s">
        <v>177</v>
      </c>
      <c r="E166" s="233">
        <v>46040</v>
      </c>
      <c r="F166" s="233"/>
      <c r="G166" s="233">
        <f t="shared" ref="G166:G175" si="61">SUM(E166:F166)</f>
        <v>46040</v>
      </c>
      <c r="H166" s="233">
        <f>11026</f>
        <v>11026</v>
      </c>
      <c r="I166" s="233">
        <f t="shared" ref="I166:I175" si="62">SUM(G166:H166)</f>
        <v>57066</v>
      </c>
      <c r="J166" s="233"/>
      <c r="K166" s="233">
        <f t="shared" ref="K166:K175" si="63">SUM(I166:J166)</f>
        <v>57066</v>
      </c>
    </row>
    <row r="167" spans="1:11" ht="12.95" customHeight="1" x14ac:dyDescent="0.2">
      <c r="A167" s="172"/>
      <c r="B167" s="172"/>
      <c r="C167" s="144">
        <v>4040</v>
      </c>
      <c r="D167" s="185" t="s">
        <v>178</v>
      </c>
      <c r="E167" s="233">
        <v>6100</v>
      </c>
      <c r="F167" s="233"/>
      <c r="G167" s="233">
        <f t="shared" si="61"/>
        <v>6100</v>
      </c>
      <c r="H167" s="233">
        <f>343</f>
        <v>343</v>
      </c>
      <c r="I167" s="233">
        <f t="shared" si="62"/>
        <v>6443</v>
      </c>
      <c r="J167" s="233"/>
      <c r="K167" s="233">
        <f t="shared" si="63"/>
        <v>6443</v>
      </c>
    </row>
    <row r="168" spans="1:11" ht="12.95" customHeight="1" x14ac:dyDescent="0.2">
      <c r="A168" s="172"/>
      <c r="B168" s="172"/>
      <c r="C168" s="145">
        <v>4050</v>
      </c>
      <c r="D168" s="191" t="s">
        <v>194</v>
      </c>
      <c r="E168" s="233">
        <v>3413500</v>
      </c>
      <c r="F168" s="233"/>
      <c r="G168" s="233">
        <f t="shared" si="61"/>
        <v>3413500</v>
      </c>
      <c r="H168" s="233">
        <f>-16808-2047</f>
        <v>-18855</v>
      </c>
      <c r="I168" s="233">
        <f t="shared" si="62"/>
        <v>3394645</v>
      </c>
      <c r="J168" s="233"/>
      <c r="K168" s="233">
        <f t="shared" si="63"/>
        <v>3394645</v>
      </c>
    </row>
    <row r="169" spans="1:11" ht="12.95" customHeight="1" x14ac:dyDescent="0.2">
      <c r="A169" s="172"/>
      <c r="B169" s="172"/>
      <c r="C169" s="145">
        <v>4060</v>
      </c>
      <c r="D169" s="191" t="s">
        <v>195</v>
      </c>
      <c r="E169" s="233">
        <v>241200</v>
      </c>
      <c r="F169" s="233"/>
      <c r="G169" s="233">
        <f t="shared" si="61"/>
        <v>241200</v>
      </c>
      <c r="H169" s="233">
        <f>13736+2047</f>
        <v>15783</v>
      </c>
      <c r="I169" s="233">
        <f t="shared" si="62"/>
        <v>256983</v>
      </c>
      <c r="J169" s="233"/>
      <c r="K169" s="233">
        <f t="shared" si="63"/>
        <v>256983</v>
      </c>
    </row>
    <row r="170" spans="1:11" ht="12.95" customHeight="1" x14ac:dyDescent="0.2">
      <c r="A170" s="172"/>
      <c r="B170" s="172"/>
      <c r="C170" s="145">
        <v>4070</v>
      </c>
      <c r="D170" s="191" t="s">
        <v>196</v>
      </c>
      <c r="E170" s="233">
        <v>284400</v>
      </c>
      <c r="F170" s="233"/>
      <c r="G170" s="233">
        <f t="shared" si="61"/>
        <v>284400</v>
      </c>
      <c r="H170" s="233"/>
      <c r="I170" s="233">
        <f t="shared" si="62"/>
        <v>284400</v>
      </c>
      <c r="J170" s="233"/>
      <c r="K170" s="233">
        <f t="shared" si="63"/>
        <v>284400</v>
      </c>
    </row>
    <row r="171" spans="1:11" x14ac:dyDescent="0.2">
      <c r="A171" s="172"/>
      <c r="B171" s="172"/>
      <c r="C171" s="145">
        <v>4080</v>
      </c>
      <c r="D171" s="191" t="s">
        <v>197</v>
      </c>
      <c r="E171" s="233">
        <v>30000</v>
      </c>
      <c r="F171" s="233"/>
      <c r="G171" s="233">
        <f t="shared" si="61"/>
        <v>30000</v>
      </c>
      <c r="H171" s="233"/>
      <c r="I171" s="233">
        <f t="shared" si="62"/>
        <v>30000</v>
      </c>
      <c r="J171" s="233"/>
      <c r="K171" s="233">
        <f t="shared" si="63"/>
        <v>30000</v>
      </c>
    </row>
    <row r="172" spans="1:11" ht="12.95" customHeight="1" x14ac:dyDescent="0.2">
      <c r="A172" s="172"/>
      <c r="B172" s="172"/>
      <c r="C172" s="144">
        <v>4110</v>
      </c>
      <c r="D172" s="185" t="s">
        <v>179</v>
      </c>
      <c r="E172" s="233">
        <v>14700</v>
      </c>
      <c r="F172" s="233"/>
      <c r="G172" s="233">
        <f t="shared" si="61"/>
        <v>14700</v>
      </c>
      <c r="H172" s="233">
        <f>3165</f>
        <v>3165</v>
      </c>
      <c r="I172" s="233">
        <f t="shared" si="62"/>
        <v>17865</v>
      </c>
      <c r="J172" s="233"/>
      <c r="K172" s="233">
        <f t="shared" si="63"/>
        <v>17865</v>
      </c>
    </row>
    <row r="173" spans="1:11" ht="12.95" customHeight="1" x14ac:dyDescent="0.2">
      <c r="A173" s="172"/>
      <c r="B173" s="172"/>
      <c r="C173" s="144">
        <v>4120</v>
      </c>
      <c r="D173" s="185" t="s">
        <v>180</v>
      </c>
      <c r="E173" s="233">
        <v>2000</v>
      </c>
      <c r="F173" s="233"/>
      <c r="G173" s="233">
        <f t="shared" si="61"/>
        <v>2000</v>
      </c>
      <c r="H173" s="233">
        <f>171</f>
        <v>171</v>
      </c>
      <c r="I173" s="233">
        <f t="shared" si="62"/>
        <v>2171</v>
      </c>
      <c r="J173" s="233"/>
      <c r="K173" s="233">
        <f t="shared" si="63"/>
        <v>2171</v>
      </c>
    </row>
    <row r="174" spans="1:11" ht="12.95" customHeight="1" x14ac:dyDescent="0.2">
      <c r="A174" s="172"/>
      <c r="B174" s="172"/>
      <c r="C174" s="144">
        <v>4170</v>
      </c>
      <c r="D174" s="185" t="s">
        <v>153</v>
      </c>
      <c r="E174" s="233">
        <v>19200</v>
      </c>
      <c r="F174" s="233"/>
      <c r="G174" s="233">
        <f t="shared" si="61"/>
        <v>19200</v>
      </c>
      <c r="H174" s="233"/>
      <c r="I174" s="233">
        <f t="shared" si="62"/>
        <v>19200</v>
      </c>
      <c r="J174" s="233"/>
      <c r="K174" s="233">
        <f t="shared" si="63"/>
        <v>19200</v>
      </c>
    </row>
    <row r="175" spans="1:11" ht="12.95" customHeight="1" x14ac:dyDescent="0.2">
      <c r="A175" s="172"/>
      <c r="B175" s="172"/>
      <c r="C175" s="144">
        <v>4180</v>
      </c>
      <c r="D175" s="185" t="s">
        <v>198</v>
      </c>
      <c r="E175" s="233">
        <v>153100</v>
      </c>
      <c r="F175" s="233"/>
      <c r="G175" s="233">
        <f t="shared" si="61"/>
        <v>153100</v>
      </c>
      <c r="H175" s="233"/>
      <c r="I175" s="233">
        <f t="shared" si="62"/>
        <v>153100</v>
      </c>
      <c r="J175" s="233"/>
      <c r="K175" s="233">
        <f t="shared" si="63"/>
        <v>153100</v>
      </c>
    </row>
    <row r="176" spans="1:11" ht="12.95" customHeight="1" x14ac:dyDescent="0.2">
      <c r="A176" s="171"/>
      <c r="B176" s="152"/>
      <c r="C176" s="299" t="s">
        <v>150</v>
      </c>
      <c r="D176" s="300"/>
      <c r="E176" s="232">
        <f t="shared" ref="E176:K176" si="64">SUM(E177)</f>
        <v>235500</v>
      </c>
      <c r="F176" s="232">
        <f t="shared" si="64"/>
        <v>0</v>
      </c>
      <c r="G176" s="232">
        <f t="shared" si="64"/>
        <v>235500</v>
      </c>
      <c r="H176" s="232">
        <f t="shared" si="64"/>
        <v>700</v>
      </c>
      <c r="I176" s="232">
        <f t="shared" si="64"/>
        <v>236200</v>
      </c>
      <c r="J176" s="232">
        <f t="shared" si="64"/>
        <v>0</v>
      </c>
      <c r="K176" s="232">
        <f t="shared" si="64"/>
        <v>236200</v>
      </c>
    </row>
    <row r="177" spans="1:11" ht="12.95" customHeight="1" x14ac:dyDescent="0.2">
      <c r="A177" s="172"/>
      <c r="B177" s="172"/>
      <c r="C177" s="144">
        <v>3070</v>
      </c>
      <c r="D177" s="192" t="s">
        <v>199</v>
      </c>
      <c r="E177" s="233">
        <v>235500</v>
      </c>
      <c r="F177" s="233"/>
      <c r="G177" s="233">
        <f>SUM(E177:F177)</f>
        <v>235500</v>
      </c>
      <c r="H177" s="233">
        <f>700</f>
        <v>700</v>
      </c>
      <c r="I177" s="233">
        <f>SUM(G177:H177)</f>
        <v>236200</v>
      </c>
      <c r="J177" s="233"/>
      <c r="K177" s="233">
        <f>SUM(I177:J177)</f>
        <v>236200</v>
      </c>
    </row>
    <row r="178" spans="1:11" ht="22.5" customHeight="1" x14ac:dyDescent="0.2">
      <c r="A178" s="171"/>
      <c r="B178" s="207"/>
      <c r="C178" s="295" t="s">
        <v>294</v>
      </c>
      <c r="D178" s="296"/>
      <c r="E178" s="232">
        <f t="shared" ref="E178:K178" si="65">SUM(E179:E192)</f>
        <v>360200</v>
      </c>
      <c r="F178" s="232">
        <f t="shared" si="65"/>
        <v>0</v>
      </c>
      <c r="G178" s="232">
        <f t="shared" si="65"/>
        <v>360200</v>
      </c>
      <c r="H178" s="232">
        <f t="shared" si="65"/>
        <v>0</v>
      </c>
      <c r="I178" s="232">
        <f t="shared" si="65"/>
        <v>360200</v>
      </c>
      <c r="J178" s="232">
        <f t="shared" si="65"/>
        <v>0</v>
      </c>
      <c r="K178" s="232">
        <f t="shared" si="65"/>
        <v>360200</v>
      </c>
    </row>
    <row r="179" spans="1:11" ht="12.95" customHeight="1" x14ac:dyDescent="0.2">
      <c r="A179" s="172"/>
      <c r="B179" s="172"/>
      <c r="C179" s="144">
        <v>4210</v>
      </c>
      <c r="D179" s="192" t="s">
        <v>154</v>
      </c>
      <c r="E179" s="233">
        <v>113300</v>
      </c>
      <c r="F179" s="233"/>
      <c r="G179" s="233">
        <f>SUM(E179:F179)</f>
        <v>113300</v>
      </c>
      <c r="H179" s="233"/>
      <c r="I179" s="233">
        <f>SUM(G179:H179)</f>
        <v>113300</v>
      </c>
      <c r="J179" s="233"/>
      <c r="K179" s="233">
        <f>SUM(I179:J179)</f>
        <v>113300</v>
      </c>
    </row>
    <row r="180" spans="1:11" ht="12.95" customHeight="1" x14ac:dyDescent="0.2">
      <c r="A180" s="172"/>
      <c r="B180" s="172"/>
      <c r="C180" s="144">
        <v>4260</v>
      </c>
      <c r="D180" s="185" t="s">
        <v>155</v>
      </c>
      <c r="E180" s="233">
        <v>100000</v>
      </c>
      <c r="F180" s="233"/>
      <c r="G180" s="233">
        <f t="shared" ref="G180:G192" si="66">SUM(E180:F180)</f>
        <v>100000</v>
      </c>
      <c r="H180" s="233"/>
      <c r="I180" s="233">
        <f t="shared" ref="I180:I192" si="67">SUM(G180:H180)</f>
        <v>100000</v>
      </c>
      <c r="J180" s="233"/>
      <c r="K180" s="233">
        <f t="shared" ref="K180:K192" si="68">SUM(I180:J180)</f>
        <v>100000</v>
      </c>
    </row>
    <row r="181" spans="1:11" ht="12.95" customHeight="1" x14ac:dyDescent="0.2">
      <c r="A181" s="172"/>
      <c r="B181" s="172"/>
      <c r="C181" s="144">
        <v>4270</v>
      </c>
      <c r="D181" s="185" t="s">
        <v>156</v>
      </c>
      <c r="E181" s="233">
        <v>20000</v>
      </c>
      <c r="F181" s="233"/>
      <c r="G181" s="233">
        <f t="shared" si="66"/>
        <v>20000</v>
      </c>
      <c r="H181" s="233"/>
      <c r="I181" s="233">
        <f t="shared" si="67"/>
        <v>20000</v>
      </c>
      <c r="J181" s="233"/>
      <c r="K181" s="233">
        <f t="shared" si="68"/>
        <v>20000</v>
      </c>
    </row>
    <row r="182" spans="1:11" ht="12.95" customHeight="1" x14ac:dyDescent="0.2">
      <c r="A182" s="172"/>
      <c r="B182" s="172"/>
      <c r="C182" s="144">
        <v>4280</v>
      </c>
      <c r="D182" s="185" t="s">
        <v>182</v>
      </c>
      <c r="E182" s="233">
        <v>30000</v>
      </c>
      <c r="F182" s="233"/>
      <c r="G182" s="233">
        <f t="shared" si="66"/>
        <v>30000</v>
      </c>
      <c r="H182" s="233"/>
      <c r="I182" s="233">
        <f t="shared" si="67"/>
        <v>30000</v>
      </c>
      <c r="J182" s="233"/>
      <c r="K182" s="233">
        <f t="shared" si="68"/>
        <v>30000</v>
      </c>
    </row>
    <row r="183" spans="1:11" ht="12.95" customHeight="1" x14ac:dyDescent="0.2">
      <c r="A183" s="172"/>
      <c r="B183" s="172"/>
      <c r="C183" s="144">
        <v>4300</v>
      </c>
      <c r="D183" s="185" t="s">
        <v>145</v>
      </c>
      <c r="E183" s="233">
        <v>40000</v>
      </c>
      <c r="F183" s="233"/>
      <c r="G183" s="233">
        <f t="shared" si="66"/>
        <v>40000</v>
      </c>
      <c r="H183" s="233"/>
      <c r="I183" s="233">
        <f t="shared" si="67"/>
        <v>40000</v>
      </c>
      <c r="J183" s="233"/>
      <c r="K183" s="233">
        <f t="shared" si="68"/>
        <v>40000</v>
      </c>
    </row>
    <row r="184" spans="1:11" ht="12.95" customHeight="1" x14ac:dyDescent="0.2">
      <c r="A184" s="172"/>
      <c r="B184" s="172"/>
      <c r="C184" s="144">
        <v>4360</v>
      </c>
      <c r="D184" s="185" t="s">
        <v>184</v>
      </c>
      <c r="E184" s="233">
        <v>15200</v>
      </c>
      <c r="F184" s="233"/>
      <c r="G184" s="233">
        <f t="shared" si="66"/>
        <v>15200</v>
      </c>
      <c r="H184" s="233"/>
      <c r="I184" s="233">
        <f t="shared" si="67"/>
        <v>15200</v>
      </c>
      <c r="J184" s="233"/>
      <c r="K184" s="233">
        <f t="shared" si="68"/>
        <v>15200</v>
      </c>
    </row>
    <row r="185" spans="1:11" ht="12.95" customHeight="1" x14ac:dyDescent="0.2">
      <c r="A185" s="172"/>
      <c r="B185" s="172"/>
      <c r="C185" s="145">
        <v>4410</v>
      </c>
      <c r="D185" s="191" t="s">
        <v>171</v>
      </c>
      <c r="E185" s="233">
        <v>11700</v>
      </c>
      <c r="F185" s="233"/>
      <c r="G185" s="233">
        <f t="shared" si="66"/>
        <v>11700</v>
      </c>
      <c r="H185" s="233"/>
      <c r="I185" s="233">
        <f t="shared" si="67"/>
        <v>11700</v>
      </c>
      <c r="J185" s="233"/>
      <c r="K185" s="233">
        <f t="shared" si="68"/>
        <v>11700</v>
      </c>
    </row>
    <row r="186" spans="1:11" ht="12.95" customHeight="1" x14ac:dyDescent="0.2">
      <c r="A186" s="172"/>
      <c r="B186" s="172"/>
      <c r="C186" s="145">
        <v>4420</v>
      </c>
      <c r="D186" s="191" t="s">
        <v>219</v>
      </c>
      <c r="E186" s="233">
        <v>1000</v>
      </c>
      <c r="F186" s="233"/>
      <c r="G186" s="233">
        <f t="shared" si="66"/>
        <v>1000</v>
      </c>
      <c r="H186" s="233"/>
      <c r="I186" s="233">
        <f t="shared" si="67"/>
        <v>1000</v>
      </c>
      <c r="J186" s="233"/>
      <c r="K186" s="233">
        <f t="shared" si="68"/>
        <v>1000</v>
      </c>
    </row>
    <row r="187" spans="1:11" ht="12.95" customHeight="1" x14ac:dyDescent="0.2">
      <c r="A187" s="172"/>
      <c r="B187" s="172"/>
      <c r="C187" s="144">
        <v>4430</v>
      </c>
      <c r="D187" s="185" t="s">
        <v>157</v>
      </c>
      <c r="E187" s="233">
        <v>1500</v>
      </c>
      <c r="F187" s="233"/>
      <c r="G187" s="233">
        <f t="shared" si="66"/>
        <v>1500</v>
      </c>
      <c r="H187" s="233"/>
      <c r="I187" s="233">
        <f t="shared" si="67"/>
        <v>1500</v>
      </c>
      <c r="J187" s="233"/>
      <c r="K187" s="233">
        <f t="shared" si="68"/>
        <v>1500</v>
      </c>
    </row>
    <row r="188" spans="1:11" ht="12.95" customHeight="1" x14ac:dyDescent="0.2">
      <c r="A188" s="172"/>
      <c r="B188" s="172"/>
      <c r="C188" s="145">
        <v>4440</v>
      </c>
      <c r="D188" s="191" t="s">
        <v>186</v>
      </c>
      <c r="E188" s="233">
        <v>2900</v>
      </c>
      <c r="F188" s="233"/>
      <c r="G188" s="233">
        <f t="shared" si="66"/>
        <v>2900</v>
      </c>
      <c r="H188" s="233"/>
      <c r="I188" s="233">
        <f t="shared" si="67"/>
        <v>2900</v>
      </c>
      <c r="J188" s="233"/>
      <c r="K188" s="233">
        <f t="shared" si="68"/>
        <v>2900</v>
      </c>
    </row>
    <row r="189" spans="1:11" ht="12.95" customHeight="1" x14ac:dyDescent="0.2">
      <c r="A189" s="172"/>
      <c r="B189" s="172"/>
      <c r="C189" s="144">
        <v>4480</v>
      </c>
      <c r="D189" s="192" t="s">
        <v>172</v>
      </c>
      <c r="E189" s="233">
        <v>22000</v>
      </c>
      <c r="F189" s="233"/>
      <c r="G189" s="233">
        <f t="shared" si="66"/>
        <v>22000</v>
      </c>
      <c r="H189" s="233"/>
      <c r="I189" s="233">
        <f t="shared" si="67"/>
        <v>22000</v>
      </c>
      <c r="J189" s="233"/>
      <c r="K189" s="233">
        <f t="shared" si="68"/>
        <v>22000</v>
      </c>
    </row>
    <row r="190" spans="1:11" ht="12.95" customHeight="1" x14ac:dyDescent="0.2">
      <c r="A190" s="172"/>
      <c r="B190" s="172"/>
      <c r="C190" s="144">
        <v>4510</v>
      </c>
      <c r="D190" s="192" t="s">
        <v>201</v>
      </c>
      <c r="E190" s="233">
        <v>1000</v>
      </c>
      <c r="F190" s="233"/>
      <c r="G190" s="233">
        <f t="shared" si="66"/>
        <v>1000</v>
      </c>
      <c r="H190" s="233"/>
      <c r="I190" s="233">
        <f t="shared" si="67"/>
        <v>1000</v>
      </c>
      <c r="J190" s="233"/>
      <c r="K190" s="233">
        <f t="shared" si="68"/>
        <v>1000</v>
      </c>
    </row>
    <row r="191" spans="1:11" ht="12.95" customHeight="1" x14ac:dyDescent="0.2">
      <c r="A191" s="172"/>
      <c r="B191" s="172"/>
      <c r="C191" s="144">
        <v>4550</v>
      </c>
      <c r="D191" s="192" t="s">
        <v>202</v>
      </c>
      <c r="E191" s="233">
        <v>1000</v>
      </c>
      <c r="F191" s="233"/>
      <c r="G191" s="233">
        <f t="shared" si="66"/>
        <v>1000</v>
      </c>
      <c r="H191" s="233"/>
      <c r="I191" s="233">
        <f t="shared" si="67"/>
        <v>1000</v>
      </c>
      <c r="J191" s="233"/>
      <c r="K191" s="233">
        <f t="shared" si="68"/>
        <v>1000</v>
      </c>
    </row>
    <row r="192" spans="1:11" ht="12.95" customHeight="1" x14ac:dyDescent="0.2">
      <c r="A192" s="172"/>
      <c r="B192" s="172"/>
      <c r="C192" s="144">
        <v>4700</v>
      </c>
      <c r="D192" s="185" t="s">
        <v>173</v>
      </c>
      <c r="E192" s="233">
        <v>600</v>
      </c>
      <c r="F192" s="233"/>
      <c r="G192" s="233">
        <f t="shared" si="66"/>
        <v>600</v>
      </c>
      <c r="H192" s="233"/>
      <c r="I192" s="233">
        <f t="shared" si="67"/>
        <v>600</v>
      </c>
      <c r="J192" s="233"/>
      <c r="K192" s="233">
        <f t="shared" si="68"/>
        <v>600</v>
      </c>
    </row>
    <row r="193" spans="1:11" ht="12.95" customHeight="1" x14ac:dyDescent="0.2">
      <c r="A193" s="171"/>
      <c r="B193" s="152"/>
      <c r="C193" s="299" t="s">
        <v>158</v>
      </c>
      <c r="D193" s="300"/>
      <c r="E193" s="232">
        <f t="shared" ref="E193:K193" si="69">SUM(E194:E194)</f>
        <v>9000</v>
      </c>
      <c r="F193" s="232">
        <f t="shared" si="69"/>
        <v>0</v>
      </c>
      <c r="G193" s="232">
        <f t="shared" si="69"/>
        <v>9000</v>
      </c>
      <c r="H193" s="232">
        <f t="shared" si="69"/>
        <v>0</v>
      </c>
      <c r="I193" s="232">
        <f t="shared" si="69"/>
        <v>9000</v>
      </c>
      <c r="J193" s="232">
        <f t="shared" si="69"/>
        <v>0</v>
      </c>
      <c r="K193" s="232">
        <f t="shared" si="69"/>
        <v>9000</v>
      </c>
    </row>
    <row r="194" spans="1:11" ht="12.95" customHeight="1" x14ac:dyDescent="0.2">
      <c r="A194" s="172"/>
      <c r="B194" s="172"/>
      <c r="C194" s="144">
        <v>6060</v>
      </c>
      <c r="D194" s="192" t="s">
        <v>174</v>
      </c>
      <c r="E194" s="233">
        <v>9000</v>
      </c>
      <c r="F194" s="233"/>
      <c r="G194" s="233">
        <f>SUM(E194:F194)</f>
        <v>9000</v>
      </c>
      <c r="H194" s="233"/>
      <c r="I194" s="233">
        <f>SUM(G194:H194)</f>
        <v>9000</v>
      </c>
      <c r="J194" s="233"/>
      <c r="K194" s="233">
        <f>SUM(I194:J194)</f>
        <v>9000</v>
      </c>
    </row>
    <row r="195" spans="1:11" x14ac:dyDescent="0.2">
      <c r="A195" s="167"/>
      <c r="B195" s="167">
        <v>75495</v>
      </c>
      <c r="C195" s="146"/>
      <c r="D195" s="194" t="s">
        <v>65</v>
      </c>
      <c r="E195" s="234">
        <f t="shared" ref="E195:K195" si="70">SUM(E196+E199)</f>
        <v>15000</v>
      </c>
      <c r="F195" s="234">
        <f t="shared" si="70"/>
        <v>4000</v>
      </c>
      <c r="G195" s="234">
        <f t="shared" si="70"/>
        <v>19000</v>
      </c>
      <c r="H195" s="234">
        <f t="shared" si="70"/>
        <v>0</v>
      </c>
      <c r="I195" s="234">
        <f t="shared" si="70"/>
        <v>19000</v>
      </c>
      <c r="J195" s="234">
        <f t="shared" si="70"/>
        <v>0</v>
      </c>
      <c r="K195" s="234">
        <f t="shared" si="70"/>
        <v>19000</v>
      </c>
    </row>
    <row r="196" spans="1:11" ht="24.75" customHeight="1" x14ac:dyDescent="0.2">
      <c r="A196" s="171"/>
      <c r="B196" s="152"/>
      <c r="C196" s="307" t="s">
        <v>294</v>
      </c>
      <c r="D196" s="308"/>
      <c r="E196" s="232">
        <f t="shared" ref="E196:K196" si="71">SUM(E197:E198)</f>
        <v>5000</v>
      </c>
      <c r="F196" s="232">
        <f t="shared" si="71"/>
        <v>4000</v>
      </c>
      <c r="G196" s="232">
        <f t="shared" si="71"/>
        <v>9000</v>
      </c>
      <c r="H196" s="232">
        <f t="shared" si="71"/>
        <v>0</v>
      </c>
      <c r="I196" s="232">
        <f t="shared" si="71"/>
        <v>9000</v>
      </c>
      <c r="J196" s="232">
        <f t="shared" si="71"/>
        <v>0</v>
      </c>
      <c r="K196" s="232">
        <f t="shared" si="71"/>
        <v>9000</v>
      </c>
    </row>
    <row r="197" spans="1:11" x14ac:dyDescent="0.2">
      <c r="A197" s="172"/>
      <c r="B197" s="172"/>
      <c r="C197" s="144">
        <v>4210</v>
      </c>
      <c r="D197" s="192" t="s">
        <v>154</v>
      </c>
      <c r="E197" s="233">
        <v>2500</v>
      </c>
      <c r="F197" s="233">
        <v>4000</v>
      </c>
      <c r="G197" s="233">
        <f>SUM(E197:F197)</f>
        <v>6500</v>
      </c>
      <c r="H197" s="233"/>
      <c r="I197" s="233">
        <f>SUM(G197:H197)</f>
        <v>6500</v>
      </c>
      <c r="J197" s="233"/>
      <c r="K197" s="233">
        <f>SUM(I197:J197)</f>
        <v>6500</v>
      </c>
    </row>
    <row r="198" spans="1:11" x14ac:dyDescent="0.2">
      <c r="A198" s="172"/>
      <c r="B198" s="172"/>
      <c r="C198" s="144">
        <v>4300</v>
      </c>
      <c r="D198" s="185" t="s">
        <v>145</v>
      </c>
      <c r="E198" s="233">
        <v>2500</v>
      </c>
      <c r="F198" s="233"/>
      <c r="G198" s="233">
        <f>SUM(E198:F198)</f>
        <v>2500</v>
      </c>
      <c r="H198" s="233"/>
      <c r="I198" s="233">
        <f>SUM(G198:H198)</f>
        <v>2500</v>
      </c>
      <c r="J198" s="233"/>
      <c r="K198" s="233">
        <f>SUM(I198:J198)</f>
        <v>2500</v>
      </c>
    </row>
    <row r="199" spans="1:11" ht="12.95" customHeight="1" x14ac:dyDescent="0.2">
      <c r="A199" s="171"/>
      <c r="B199" s="152"/>
      <c r="C199" s="299" t="s">
        <v>158</v>
      </c>
      <c r="D199" s="300"/>
      <c r="E199" s="232">
        <f>SUM(E200)</f>
        <v>10000</v>
      </c>
      <c r="F199" s="232">
        <f>SUM(F200)</f>
        <v>0</v>
      </c>
      <c r="G199" s="232">
        <f>SUM(G200)</f>
        <v>10000</v>
      </c>
      <c r="H199" s="232">
        <f>SUM(H200)</f>
        <v>0</v>
      </c>
      <c r="I199" s="232">
        <f>SUM(I200:I201)</f>
        <v>10000</v>
      </c>
      <c r="J199" s="232">
        <f>SUM(J200:J201)</f>
        <v>0</v>
      </c>
      <c r="K199" s="232">
        <f>SUM(K200:K201)</f>
        <v>10000</v>
      </c>
    </row>
    <row r="200" spans="1:11" ht="12.95" customHeight="1" x14ac:dyDescent="0.2">
      <c r="A200" s="172"/>
      <c r="B200" s="172"/>
      <c r="C200" s="144">
        <v>6060</v>
      </c>
      <c r="D200" s="192" t="s">
        <v>174</v>
      </c>
      <c r="E200" s="233">
        <v>10000</v>
      </c>
      <c r="F200" s="233"/>
      <c r="G200" s="233">
        <f>SUM(E200:F200)</f>
        <v>10000</v>
      </c>
      <c r="H200" s="233"/>
      <c r="I200" s="233">
        <f>SUM(G200:H200)</f>
        <v>10000</v>
      </c>
      <c r="J200" s="233">
        <v>-10000</v>
      </c>
      <c r="K200" s="233">
        <f>SUM(I200:J200)</f>
        <v>0</v>
      </c>
    </row>
    <row r="201" spans="1:11" ht="12.95" customHeight="1" x14ac:dyDescent="0.2">
      <c r="A201" s="172"/>
      <c r="B201" s="172"/>
      <c r="C201" s="144">
        <v>6170</v>
      </c>
      <c r="D201" s="192" t="s">
        <v>315</v>
      </c>
      <c r="E201" s="233"/>
      <c r="F201" s="233"/>
      <c r="G201" s="233"/>
      <c r="H201" s="233"/>
      <c r="I201" s="233"/>
      <c r="J201" s="233">
        <v>10000</v>
      </c>
      <c r="K201" s="233">
        <f>SUM(I201:J201)</f>
        <v>10000</v>
      </c>
    </row>
    <row r="202" spans="1:11" ht="12.95" customHeight="1" x14ac:dyDescent="0.2">
      <c r="A202" s="170">
        <v>757</v>
      </c>
      <c r="B202" s="170"/>
      <c r="C202" s="143"/>
      <c r="D202" s="195" t="s">
        <v>203</v>
      </c>
      <c r="E202" s="236">
        <f t="shared" ref="E202:K203" si="72">SUM(E203)</f>
        <v>848213</v>
      </c>
      <c r="F202" s="236">
        <f t="shared" si="72"/>
        <v>0</v>
      </c>
      <c r="G202" s="236">
        <f t="shared" si="72"/>
        <v>848213</v>
      </c>
      <c r="H202" s="236">
        <f t="shared" si="72"/>
        <v>0</v>
      </c>
      <c r="I202" s="236">
        <f t="shared" si="72"/>
        <v>848213</v>
      </c>
      <c r="J202" s="236">
        <f t="shared" si="72"/>
        <v>0</v>
      </c>
      <c r="K202" s="236">
        <f t="shared" si="72"/>
        <v>848213</v>
      </c>
    </row>
    <row r="203" spans="1:11" ht="12.95" customHeight="1" x14ac:dyDescent="0.2">
      <c r="A203" s="167"/>
      <c r="B203" s="167">
        <v>75702</v>
      </c>
      <c r="C203" s="146"/>
      <c r="D203" s="194" t="s">
        <v>204</v>
      </c>
      <c r="E203" s="234">
        <f t="shared" si="72"/>
        <v>848213</v>
      </c>
      <c r="F203" s="234">
        <f t="shared" si="72"/>
        <v>0</v>
      </c>
      <c r="G203" s="234">
        <f t="shared" si="72"/>
        <v>848213</v>
      </c>
      <c r="H203" s="234">
        <f t="shared" si="72"/>
        <v>0</v>
      </c>
      <c r="I203" s="234">
        <f t="shared" si="72"/>
        <v>848213</v>
      </c>
      <c r="J203" s="234">
        <f t="shared" si="72"/>
        <v>0</v>
      </c>
      <c r="K203" s="234">
        <f t="shared" si="72"/>
        <v>848213</v>
      </c>
    </row>
    <row r="204" spans="1:11" ht="12.95" customHeight="1" x14ac:dyDescent="0.2">
      <c r="A204" s="168"/>
      <c r="B204" s="152"/>
      <c r="C204" s="299" t="s">
        <v>205</v>
      </c>
      <c r="D204" s="300"/>
      <c r="E204" s="228">
        <f t="shared" ref="E204:K204" si="73">SUM(E205:E205)</f>
        <v>848213</v>
      </c>
      <c r="F204" s="228">
        <f t="shared" si="73"/>
        <v>0</v>
      </c>
      <c r="G204" s="228">
        <f t="shared" si="73"/>
        <v>848213</v>
      </c>
      <c r="H204" s="228">
        <f t="shared" si="73"/>
        <v>0</v>
      </c>
      <c r="I204" s="228">
        <f t="shared" si="73"/>
        <v>848213</v>
      </c>
      <c r="J204" s="228">
        <f t="shared" si="73"/>
        <v>0</v>
      </c>
      <c r="K204" s="228">
        <f t="shared" si="73"/>
        <v>848213</v>
      </c>
    </row>
    <row r="205" spans="1:11" x14ac:dyDescent="0.2">
      <c r="A205" s="157"/>
      <c r="B205" s="157"/>
      <c r="C205" s="144">
        <v>8110</v>
      </c>
      <c r="D205" s="192" t="s">
        <v>206</v>
      </c>
      <c r="E205" s="229">
        <v>848213</v>
      </c>
      <c r="F205" s="229"/>
      <c r="G205" s="229">
        <f>SUM(E205:F205)</f>
        <v>848213</v>
      </c>
      <c r="H205" s="229"/>
      <c r="I205" s="229">
        <f>SUM(G205:H205)</f>
        <v>848213</v>
      </c>
      <c r="J205" s="229"/>
      <c r="K205" s="229">
        <f>SUM(I205:J205)</f>
        <v>848213</v>
      </c>
    </row>
    <row r="206" spans="1:11" ht="12.95" customHeight="1" x14ac:dyDescent="0.2">
      <c r="A206" s="170">
        <v>758</v>
      </c>
      <c r="B206" s="170"/>
      <c r="C206" s="143"/>
      <c r="D206" s="189" t="s">
        <v>207</v>
      </c>
      <c r="E206" s="236">
        <f t="shared" ref="E206:K206" si="74">SUM(E207+E210)</f>
        <v>243998</v>
      </c>
      <c r="F206" s="236">
        <f t="shared" si="74"/>
        <v>0</v>
      </c>
      <c r="G206" s="236">
        <f t="shared" si="74"/>
        <v>243998</v>
      </c>
      <c r="H206" s="236">
        <f t="shared" si="74"/>
        <v>-4000</v>
      </c>
      <c r="I206" s="236">
        <f t="shared" si="74"/>
        <v>239998</v>
      </c>
      <c r="J206" s="236">
        <f t="shared" si="74"/>
        <v>-20000</v>
      </c>
      <c r="K206" s="236">
        <f t="shared" si="74"/>
        <v>219998</v>
      </c>
    </row>
    <row r="207" spans="1:11" ht="12.95" customHeight="1" x14ac:dyDescent="0.2">
      <c r="A207" s="167"/>
      <c r="B207" s="167">
        <v>75814</v>
      </c>
      <c r="C207" s="146"/>
      <c r="D207" s="188" t="s">
        <v>82</v>
      </c>
      <c r="E207" s="234">
        <f t="shared" ref="E207:K207" si="75">SUM(E208)</f>
        <v>5500</v>
      </c>
      <c r="F207" s="234">
        <f t="shared" si="75"/>
        <v>0</v>
      </c>
      <c r="G207" s="234">
        <f t="shared" si="75"/>
        <v>5500</v>
      </c>
      <c r="H207" s="234">
        <f t="shared" si="75"/>
        <v>0</v>
      </c>
      <c r="I207" s="234">
        <f t="shared" si="75"/>
        <v>5500</v>
      </c>
      <c r="J207" s="234">
        <f t="shared" si="75"/>
        <v>0</v>
      </c>
      <c r="K207" s="234">
        <f t="shared" si="75"/>
        <v>5500</v>
      </c>
    </row>
    <row r="208" spans="1:11" ht="21.75" customHeight="1" x14ac:dyDescent="0.2">
      <c r="A208" s="171"/>
      <c r="B208" s="207"/>
      <c r="C208" s="292" t="s">
        <v>294</v>
      </c>
      <c r="D208" s="293"/>
      <c r="E208" s="232">
        <f t="shared" ref="E208:K208" si="76">SUM(E209:E209)</f>
        <v>5500</v>
      </c>
      <c r="F208" s="232">
        <f t="shared" si="76"/>
        <v>0</v>
      </c>
      <c r="G208" s="232">
        <f t="shared" si="76"/>
        <v>5500</v>
      </c>
      <c r="H208" s="232">
        <f t="shared" si="76"/>
        <v>0</v>
      </c>
      <c r="I208" s="232">
        <f t="shared" si="76"/>
        <v>5500</v>
      </c>
      <c r="J208" s="232">
        <f t="shared" si="76"/>
        <v>0</v>
      </c>
      <c r="K208" s="232">
        <f t="shared" si="76"/>
        <v>5500</v>
      </c>
    </row>
    <row r="209" spans="1:11" ht="12.95" customHeight="1" x14ac:dyDescent="0.2">
      <c r="A209" s="172"/>
      <c r="B209" s="172"/>
      <c r="C209" s="145">
        <v>4300</v>
      </c>
      <c r="D209" s="191" t="s">
        <v>208</v>
      </c>
      <c r="E209" s="233">
        <v>5500</v>
      </c>
      <c r="F209" s="233"/>
      <c r="G209" s="233">
        <f>SUM(E209:F209)</f>
        <v>5500</v>
      </c>
      <c r="H209" s="233"/>
      <c r="I209" s="233">
        <f>SUM(G209:H209)</f>
        <v>5500</v>
      </c>
      <c r="J209" s="233"/>
      <c r="K209" s="233">
        <f>SUM(I209:J209)</f>
        <v>5500</v>
      </c>
    </row>
    <row r="210" spans="1:11" ht="12.95" customHeight="1" x14ac:dyDescent="0.2">
      <c r="A210" s="167"/>
      <c r="B210" s="167">
        <v>75818</v>
      </c>
      <c r="C210" s="146"/>
      <c r="D210" s="188" t="s">
        <v>209</v>
      </c>
      <c r="E210" s="234">
        <f t="shared" ref="E210:K211" si="77">SUM(E211)</f>
        <v>238498</v>
      </c>
      <c r="F210" s="234">
        <f t="shared" si="77"/>
        <v>0</v>
      </c>
      <c r="G210" s="234">
        <f t="shared" si="77"/>
        <v>238498</v>
      </c>
      <c r="H210" s="234">
        <f t="shared" si="77"/>
        <v>-4000</v>
      </c>
      <c r="I210" s="234">
        <f t="shared" si="77"/>
        <v>234498</v>
      </c>
      <c r="J210" s="234">
        <f t="shared" si="77"/>
        <v>-20000</v>
      </c>
      <c r="K210" s="234">
        <f t="shared" si="77"/>
        <v>214498</v>
      </c>
    </row>
    <row r="211" spans="1:11" ht="24" customHeight="1" x14ac:dyDescent="0.2">
      <c r="A211" s="168"/>
      <c r="B211" s="207"/>
      <c r="C211" s="292" t="s">
        <v>294</v>
      </c>
      <c r="D211" s="293"/>
      <c r="E211" s="228">
        <f t="shared" si="77"/>
        <v>238498</v>
      </c>
      <c r="F211" s="228">
        <f t="shared" si="77"/>
        <v>0</v>
      </c>
      <c r="G211" s="228">
        <f t="shared" si="77"/>
        <v>238498</v>
      </c>
      <c r="H211" s="228">
        <f t="shared" si="77"/>
        <v>-4000</v>
      </c>
      <c r="I211" s="228">
        <f t="shared" si="77"/>
        <v>234498</v>
      </c>
      <c r="J211" s="228">
        <f t="shared" si="77"/>
        <v>-20000</v>
      </c>
      <c r="K211" s="228">
        <f t="shared" si="77"/>
        <v>214498</v>
      </c>
    </row>
    <row r="212" spans="1:11" ht="12.95" customHeight="1" x14ac:dyDescent="0.2">
      <c r="A212" s="173"/>
      <c r="B212" s="173"/>
      <c r="C212" s="147">
        <v>4810</v>
      </c>
      <c r="D212" s="192" t="s">
        <v>210</v>
      </c>
      <c r="E212" s="240">
        <v>238498</v>
      </c>
      <c r="F212" s="240"/>
      <c r="G212" s="240">
        <f>SUM(E212:F212)</f>
        <v>238498</v>
      </c>
      <c r="H212" s="240">
        <f>-4000</f>
        <v>-4000</v>
      </c>
      <c r="I212" s="240">
        <f>SUM(G212:H212)</f>
        <v>234498</v>
      </c>
      <c r="J212" s="240">
        <v>-20000</v>
      </c>
      <c r="K212" s="240">
        <f>SUM(I212:J212)</f>
        <v>214498</v>
      </c>
    </row>
    <row r="213" spans="1:11" ht="12.95" customHeight="1" x14ac:dyDescent="0.2">
      <c r="A213" s="170">
        <v>801</v>
      </c>
      <c r="B213" s="170"/>
      <c r="C213" s="143"/>
      <c r="D213" s="189" t="s">
        <v>83</v>
      </c>
      <c r="E213" s="236">
        <f>SUM(E214+E236+E253+E263+E273+E299+E343+E354+E368+E374+E407)</f>
        <v>28693028</v>
      </c>
      <c r="F213" s="236">
        <f>SUM(F214+F236+F253+F263+F273+F299+F343+F354+F368+F374+F407)</f>
        <v>7994</v>
      </c>
      <c r="G213" s="236">
        <f>SUM(G214+G236+G253+G263+G273+G299+G343+G354+G368+G374+G407+G387)</f>
        <v>28701022</v>
      </c>
      <c r="H213" s="236">
        <f>SUM(H214+H236+H253+H263+H273+H299+H343+H354+H368+H374+H407+H387)</f>
        <v>-710143</v>
      </c>
      <c r="I213" s="236">
        <f>SUM(I214+I236+I253+I263+I273+I299+I343+I354+I368+I374+I407+I387)</f>
        <v>27990879</v>
      </c>
      <c r="J213" s="236">
        <f>SUM(J214+J236+J253+J263+J273+J299+J343+J354+J368+J374+J407+J387)</f>
        <v>38583</v>
      </c>
      <c r="K213" s="236">
        <f>SUM(K214+K236+K253+K263+K273+K299+K343+K354+K368+K374+K407+K387)</f>
        <v>28029462</v>
      </c>
    </row>
    <row r="214" spans="1:11" ht="12.95" customHeight="1" x14ac:dyDescent="0.2">
      <c r="A214" s="167"/>
      <c r="B214" s="167">
        <v>80102</v>
      </c>
      <c r="C214" s="146"/>
      <c r="D214" s="188" t="s">
        <v>211</v>
      </c>
      <c r="E214" s="234">
        <f t="shared" ref="E214:K214" si="78">SUM(E215+E221+E223)</f>
        <v>3152998</v>
      </c>
      <c r="F214" s="234">
        <f t="shared" si="78"/>
        <v>0</v>
      </c>
      <c r="G214" s="234">
        <f t="shared" si="78"/>
        <v>3152998</v>
      </c>
      <c r="H214" s="234">
        <f t="shared" si="78"/>
        <v>-76057</v>
      </c>
      <c r="I214" s="234">
        <f t="shared" si="78"/>
        <v>3076941</v>
      </c>
      <c r="J214" s="234">
        <f t="shared" si="78"/>
        <v>0</v>
      </c>
      <c r="K214" s="234">
        <f t="shared" si="78"/>
        <v>3076941</v>
      </c>
    </row>
    <row r="215" spans="1:11" ht="12.95" customHeight="1" x14ac:dyDescent="0.2">
      <c r="A215" s="171"/>
      <c r="B215" s="152"/>
      <c r="C215" s="299" t="s">
        <v>152</v>
      </c>
      <c r="D215" s="300"/>
      <c r="E215" s="232">
        <f t="shared" ref="E215:K215" si="79">SUM(E216:E220)</f>
        <v>2751097</v>
      </c>
      <c r="F215" s="232">
        <f t="shared" si="79"/>
        <v>0</v>
      </c>
      <c r="G215" s="232">
        <f t="shared" si="79"/>
        <v>2751097</v>
      </c>
      <c r="H215" s="232">
        <f t="shared" si="79"/>
        <v>-76057</v>
      </c>
      <c r="I215" s="232">
        <f t="shared" si="79"/>
        <v>2675040</v>
      </c>
      <c r="J215" s="232">
        <f t="shared" si="79"/>
        <v>0</v>
      </c>
      <c r="K215" s="232">
        <f t="shared" si="79"/>
        <v>2675040</v>
      </c>
    </row>
    <row r="216" spans="1:11" ht="12.95" customHeight="1" x14ac:dyDescent="0.2">
      <c r="A216" s="172"/>
      <c r="B216" s="172"/>
      <c r="C216" s="144">
        <v>4010</v>
      </c>
      <c r="D216" s="185" t="s">
        <v>176</v>
      </c>
      <c r="E216" s="233">
        <v>2146097</v>
      </c>
      <c r="F216" s="233"/>
      <c r="G216" s="233">
        <f>SUM(E216:F216)</f>
        <v>2146097</v>
      </c>
      <c r="H216" s="233">
        <f>-34057</f>
        <v>-34057</v>
      </c>
      <c r="I216" s="233">
        <f>SUM(G216:H216)</f>
        <v>2112040</v>
      </c>
      <c r="J216" s="233"/>
      <c r="K216" s="233">
        <f>SUM(I216:J216)</f>
        <v>2112040</v>
      </c>
    </row>
    <row r="217" spans="1:11" ht="12.95" customHeight="1" x14ac:dyDescent="0.2">
      <c r="A217" s="172"/>
      <c r="B217" s="172"/>
      <c r="C217" s="144">
        <v>4040</v>
      </c>
      <c r="D217" s="185" t="s">
        <v>178</v>
      </c>
      <c r="E217" s="233">
        <v>172000</v>
      </c>
      <c r="F217" s="233"/>
      <c r="G217" s="233">
        <f>SUM(E217:F217)</f>
        <v>172000</v>
      </c>
      <c r="H217" s="233"/>
      <c r="I217" s="233">
        <f>SUM(G217:H217)</f>
        <v>172000</v>
      </c>
      <c r="J217" s="233"/>
      <c r="K217" s="233">
        <f>SUM(I217:J217)</f>
        <v>172000</v>
      </c>
    </row>
    <row r="218" spans="1:11" ht="12.95" customHeight="1" x14ac:dyDescent="0.2">
      <c r="A218" s="172"/>
      <c r="B218" s="172"/>
      <c r="C218" s="144">
        <v>4110</v>
      </c>
      <c r="D218" s="185" t="s">
        <v>179</v>
      </c>
      <c r="E218" s="233">
        <v>380000</v>
      </c>
      <c r="F218" s="233"/>
      <c r="G218" s="233">
        <f>SUM(E218:F218)</f>
        <v>380000</v>
      </c>
      <c r="H218" s="233">
        <f>-30000</f>
        <v>-30000</v>
      </c>
      <c r="I218" s="233">
        <f>SUM(G218:H218)</f>
        <v>350000</v>
      </c>
      <c r="J218" s="233"/>
      <c r="K218" s="233">
        <f>SUM(I218:J218)</f>
        <v>350000</v>
      </c>
    </row>
    <row r="219" spans="1:11" ht="12.95" customHeight="1" x14ac:dyDescent="0.2">
      <c r="A219" s="172"/>
      <c r="B219" s="172"/>
      <c r="C219" s="144">
        <v>4120</v>
      </c>
      <c r="D219" s="185" t="s">
        <v>180</v>
      </c>
      <c r="E219" s="233">
        <v>50000</v>
      </c>
      <c r="F219" s="233"/>
      <c r="G219" s="233">
        <f>SUM(E219:F219)</f>
        <v>50000</v>
      </c>
      <c r="H219" s="233">
        <f>-12000</f>
        <v>-12000</v>
      </c>
      <c r="I219" s="233">
        <f>SUM(G219:H219)</f>
        <v>38000</v>
      </c>
      <c r="J219" s="233"/>
      <c r="K219" s="233">
        <f>SUM(I219:J219)</f>
        <v>38000</v>
      </c>
    </row>
    <row r="220" spans="1:11" ht="12.95" customHeight="1" x14ac:dyDescent="0.2">
      <c r="A220" s="172"/>
      <c r="B220" s="172"/>
      <c r="C220" s="144">
        <v>4170</v>
      </c>
      <c r="D220" s="185" t="s">
        <v>153</v>
      </c>
      <c r="E220" s="233">
        <v>3000</v>
      </c>
      <c r="F220" s="233"/>
      <c r="G220" s="233">
        <f>SUM(E220:F220)</f>
        <v>3000</v>
      </c>
      <c r="H220" s="233"/>
      <c r="I220" s="233">
        <f>SUM(G220:H220)</f>
        <v>3000</v>
      </c>
      <c r="J220" s="233"/>
      <c r="K220" s="233">
        <f>SUM(I220:J220)</f>
        <v>3000</v>
      </c>
    </row>
    <row r="221" spans="1:11" ht="12.95" customHeight="1" x14ac:dyDescent="0.2">
      <c r="A221" s="171"/>
      <c r="B221" s="212"/>
      <c r="C221" s="297" t="s">
        <v>150</v>
      </c>
      <c r="D221" s="298"/>
      <c r="E221" s="232">
        <f t="shared" ref="E221:K221" si="80">SUM(E222)</f>
        <v>6380</v>
      </c>
      <c r="F221" s="232">
        <f t="shared" si="80"/>
        <v>0</v>
      </c>
      <c r="G221" s="232">
        <f t="shared" si="80"/>
        <v>6380</v>
      </c>
      <c r="H221" s="232">
        <f t="shared" si="80"/>
        <v>0</v>
      </c>
      <c r="I221" s="232">
        <f t="shared" si="80"/>
        <v>6380</v>
      </c>
      <c r="J221" s="232">
        <f t="shared" si="80"/>
        <v>0</v>
      </c>
      <c r="K221" s="232">
        <f t="shared" si="80"/>
        <v>6380</v>
      </c>
    </row>
    <row r="222" spans="1:11" ht="12.95" customHeight="1" x14ac:dyDescent="0.2">
      <c r="A222" s="172"/>
      <c r="B222" s="172"/>
      <c r="C222" s="144">
        <v>3020</v>
      </c>
      <c r="D222" s="192" t="s">
        <v>181</v>
      </c>
      <c r="E222" s="233">
        <v>6380</v>
      </c>
      <c r="F222" s="233"/>
      <c r="G222" s="233">
        <f>SUM(E222:F222)</f>
        <v>6380</v>
      </c>
      <c r="H222" s="233"/>
      <c r="I222" s="233">
        <f>SUM(G222:H222)</f>
        <v>6380</v>
      </c>
      <c r="J222" s="233"/>
      <c r="K222" s="233">
        <f>SUM(I222:J222)</f>
        <v>6380</v>
      </c>
    </row>
    <row r="223" spans="1:11" ht="25.5" customHeight="1" x14ac:dyDescent="0.2">
      <c r="A223" s="171"/>
      <c r="B223" s="207"/>
      <c r="C223" s="292" t="s">
        <v>294</v>
      </c>
      <c r="D223" s="293"/>
      <c r="E223" s="232">
        <f t="shared" ref="E223:K223" si="81">SUM(E224:E235)</f>
        <v>395521</v>
      </c>
      <c r="F223" s="232">
        <f t="shared" si="81"/>
        <v>0</v>
      </c>
      <c r="G223" s="232">
        <f t="shared" si="81"/>
        <v>395521</v>
      </c>
      <c r="H223" s="232">
        <f t="shared" si="81"/>
        <v>0</v>
      </c>
      <c r="I223" s="232">
        <f t="shared" si="81"/>
        <v>395521</v>
      </c>
      <c r="J223" s="232">
        <f t="shared" si="81"/>
        <v>0</v>
      </c>
      <c r="K223" s="232">
        <f t="shared" si="81"/>
        <v>395521</v>
      </c>
    </row>
    <row r="224" spans="1:11" ht="12.95" customHeight="1" x14ac:dyDescent="0.2">
      <c r="A224" s="172"/>
      <c r="B224" s="172"/>
      <c r="C224" s="144">
        <v>4210</v>
      </c>
      <c r="D224" s="192" t="s">
        <v>154</v>
      </c>
      <c r="E224" s="233">
        <v>84015</v>
      </c>
      <c r="F224" s="233"/>
      <c r="G224" s="233">
        <f>SUM(E224:F224)</f>
        <v>84015</v>
      </c>
      <c r="H224" s="233"/>
      <c r="I224" s="233">
        <f>SUM(G224:H224)</f>
        <v>84015</v>
      </c>
      <c r="J224" s="233"/>
      <c r="K224" s="233">
        <f>SUM(I224:J224)</f>
        <v>84015</v>
      </c>
    </row>
    <row r="225" spans="1:11" ht="12.95" customHeight="1" x14ac:dyDescent="0.2">
      <c r="A225" s="172"/>
      <c r="B225" s="172"/>
      <c r="C225" s="144">
        <v>4240</v>
      </c>
      <c r="D225" s="192" t="s">
        <v>212</v>
      </c>
      <c r="E225" s="233">
        <v>2000</v>
      </c>
      <c r="F225" s="233"/>
      <c r="G225" s="233">
        <f t="shared" ref="G225:G235" si="82">SUM(E225:F225)</f>
        <v>2000</v>
      </c>
      <c r="H225" s="233"/>
      <c r="I225" s="233">
        <f t="shared" ref="I225:I235" si="83">SUM(G225:H225)</f>
        <v>2000</v>
      </c>
      <c r="J225" s="233"/>
      <c r="K225" s="233">
        <f t="shared" ref="K225:K235" si="84">SUM(I225:J225)</f>
        <v>2000</v>
      </c>
    </row>
    <row r="226" spans="1:11" ht="12.95" customHeight="1" x14ac:dyDescent="0.2">
      <c r="A226" s="172"/>
      <c r="B226" s="172"/>
      <c r="C226" s="144">
        <v>4260</v>
      </c>
      <c r="D226" s="185" t="s">
        <v>155</v>
      </c>
      <c r="E226" s="233">
        <v>75000</v>
      </c>
      <c r="F226" s="233"/>
      <c r="G226" s="233">
        <f t="shared" si="82"/>
        <v>75000</v>
      </c>
      <c r="H226" s="233"/>
      <c r="I226" s="233">
        <f t="shared" si="83"/>
        <v>75000</v>
      </c>
      <c r="J226" s="233"/>
      <c r="K226" s="233">
        <f t="shared" si="84"/>
        <v>75000</v>
      </c>
    </row>
    <row r="227" spans="1:11" ht="12.95" customHeight="1" x14ac:dyDescent="0.2">
      <c r="A227" s="172"/>
      <c r="B227" s="172"/>
      <c r="C227" s="144">
        <v>4270</v>
      </c>
      <c r="D227" s="185" t="s">
        <v>156</v>
      </c>
      <c r="E227" s="233">
        <v>12000</v>
      </c>
      <c r="F227" s="233"/>
      <c r="G227" s="233">
        <f t="shared" si="82"/>
        <v>12000</v>
      </c>
      <c r="H227" s="233"/>
      <c r="I227" s="233">
        <f t="shared" si="83"/>
        <v>12000</v>
      </c>
      <c r="J227" s="233"/>
      <c r="K227" s="233">
        <f t="shared" si="84"/>
        <v>12000</v>
      </c>
    </row>
    <row r="228" spans="1:11" ht="12.95" customHeight="1" x14ac:dyDescent="0.2">
      <c r="A228" s="172"/>
      <c r="B228" s="172"/>
      <c r="C228" s="144">
        <v>4280</v>
      </c>
      <c r="D228" s="191" t="s">
        <v>182</v>
      </c>
      <c r="E228" s="233">
        <v>3500</v>
      </c>
      <c r="F228" s="233"/>
      <c r="G228" s="233">
        <f t="shared" si="82"/>
        <v>3500</v>
      </c>
      <c r="H228" s="233"/>
      <c r="I228" s="233">
        <f t="shared" si="83"/>
        <v>3500</v>
      </c>
      <c r="J228" s="233"/>
      <c r="K228" s="233">
        <f t="shared" si="84"/>
        <v>3500</v>
      </c>
    </row>
    <row r="229" spans="1:11" ht="12.95" customHeight="1" x14ac:dyDescent="0.2">
      <c r="A229" s="172"/>
      <c r="B229" s="172"/>
      <c r="C229" s="144">
        <v>4300</v>
      </c>
      <c r="D229" s="185" t="s">
        <v>145</v>
      </c>
      <c r="E229" s="233">
        <v>20000</v>
      </c>
      <c r="F229" s="233"/>
      <c r="G229" s="233">
        <f t="shared" si="82"/>
        <v>20000</v>
      </c>
      <c r="H229" s="233"/>
      <c r="I229" s="233">
        <f t="shared" si="83"/>
        <v>20000</v>
      </c>
      <c r="J229" s="233"/>
      <c r="K229" s="233">
        <f t="shared" si="84"/>
        <v>20000</v>
      </c>
    </row>
    <row r="230" spans="1:11" ht="12.95" customHeight="1" x14ac:dyDescent="0.2">
      <c r="A230" s="172"/>
      <c r="B230" s="172"/>
      <c r="C230" s="144">
        <v>4360</v>
      </c>
      <c r="D230" s="185" t="s">
        <v>213</v>
      </c>
      <c r="E230" s="233">
        <v>6200</v>
      </c>
      <c r="F230" s="233"/>
      <c r="G230" s="233">
        <f t="shared" si="82"/>
        <v>6200</v>
      </c>
      <c r="H230" s="233"/>
      <c r="I230" s="233">
        <f t="shared" si="83"/>
        <v>6200</v>
      </c>
      <c r="J230" s="233"/>
      <c r="K230" s="233">
        <f t="shared" si="84"/>
        <v>6200</v>
      </c>
    </row>
    <row r="231" spans="1:11" ht="12.95" customHeight="1" x14ac:dyDescent="0.2">
      <c r="A231" s="172"/>
      <c r="B231" s="172"/>
      <c r="C231" s="144">
        <v>4410</v>
      </c>
      <c r="D231" s="185" t="s">
        <v>171</v>
      </c>
      <c r="E231" s="233">
        <v>2500</v>
      </c>
      <c r="F231" s="233"/>
      <c r="G231" s="233">
        <f t="shared" si="82"/>
        <v>2500</v>
      </c>
      <c r="H231" s="233"/>
      <c r="I231" s="233">
        <f t="shared" si="83"/>
        <v>2500</v>
      </c>
      <c r="J231" s="233"/>
      <c r="K231" s="233">
        <f t="shared" si="84"/>
        <v>2500</v>
      </c>
    </row>
    <row r="232" spans="1:11" ht="12.95" customHeight="1" x14ac:dyDescent="0.2">
      <c r="A232" s="172"/>
      <c r="B232" s="172"/>
      <c r="C232" s="145">
        <v>4430</v>
      </c>
      <c r="D232" s="191" t="s">
        <v>157</v>
      </c>
      <c r="E232" s="233">
        <v>8000</v>
      </c>
      <c r="F232" s="233"/>
      <c r="G232" s="233">
        <f t="shared" si="82"/>
        <v>8000</v>
      </c>
      <c r="H232" s="233"/>
      <c r="I232" s="233">
        <f t="shared" si="83"/>
        <v>8000</v>
      </c>
      <c r="J232" s="233"/>
      <c r="K232" s="233">
        <f t="shared" si="84"/>
        <v>8000</v>
      </c>
    </row>
    <row r="233" spans="1:11" ht="12.95" customHeight="1" x14ac:dyDescent="0.2">
      <c r="A233" s="172"/>
      <c r="B233" s="172"/>
      <c r="C233" s="145">
        <v>4440</v>
      </c>
      <c r="D233" s="191" t="s">
        <v>186</v>
      </c>
      <c r="E233" s="233">
        <v>180506</v>
      </c>
      <c r="F233" s="233"/>
      <c r="G233" s="233">
        <f t="shared" si="82"/>
        <v>180506</v>
      </c>
      <c r="H233" s="233"/>
      <c r="I233" s="233">
        <f t="shared" si="83"/>
        <v>180506</v>
      </c>
      <c r="J233" s="233"/>
      <c r="K233" s="233">
        <f t="shared" si="84"/>
        <v>180506</v>
      </c>
    </row>
    <row r="234" spans="1:11" ht="12.95" customHeight="1" x14ac:dyDescent="0.2">
      <c r="A234" s="172"/>
      <c r="B234" s="172"/>
      <c r="C234" s="145">
        <v>4480</v>
      </c>
      <c r="D234" s="191" t="s">
        <v>172</v>
      </c>
      <c r="E234" s="233">
        <v>800</v>
      </c>
      <c r="F234" s="233"/>
      <c r="G234" s="233">
        <f t="shared" si="82"/>
        <v>800</v>
      </c>
      <c r="H234" s="233"/>
      <c r="I234" s="233">
        <f t="shared" si="83"/>
        <v>800</v>
      </c>
      <c r="J234" s="233"/>
      <c r="K234" s="233">
        <f t="shared" si="84"/>
        <v>800</v>
      </c>
    </row>
    <row r="235" spans="1:11" ht="15.75" customHeight="1" x14ac:dyDescent="0.2">
      <c r="A235" s="172"/>
      <c r="B235" s="172"/>
      <c r="C235" s="145">
        <v>4700</v>
      </c>
      <c r="D235" s="192" t="s">
        <v>214</v>
      </c>
      <c r="E235" s="233">
        <v>1000</v>
      </c>
      <c r="F235" s="233"/>
      <c r="G235" s="233">
        <f t="shared" si="82"/>
        <v>1000</v>
      </c>
      <c r="H235" s="233"/>
      <c r="I235" s="233">
        <f t="shared" si="83"/>
        <v>1000</v>
      </c>
      <c r="J235" s="233"/>
      <c r="K235" s="233">
        <f t="shared" si="84"/>
        <v>1000</v>
      </c>
    </row>
    <row r="236" spans="1:11" ht="12.95" customHeight="1" x14ac:dyDescent="0.2">
      <c r="A236" s="167"/>
      <c r="B236" s="167">
        <v>80105</v>
      </c>
      <c r="C236" s="146"/>
      <c r="D236" s="188" t="s">
        <v>215</v>
      </c>
      <c r="E236" s="234">
        <f t="shared" ref="E236:K236" si="85">SUM(E237+E242+E244+E246)</f>
        <v>993271</v>
      </c>
      <c r="F236" s="234">
        <f t="shared" si="85"/>
        <v>5927</v>
      </c>
      <c r="G236" s="234">
        <f t="shared" si="85"/>
        <v>999198</v>
      </c>
      <c r="H236" s="234">
        <f t="shared" si="85"/>
        <v>-19419</v>
      </c>
      <c r="I236" s="234">
        <f t="shared" si="85"/>
        <v>979779</v>
      </c>
      <c r="J236" s="234">
        <f t="shared" si="85"/>
        <v>0</v>
      </c>
      <c r="K236" s="234">
        <f t="shared" si="85"/>
        <v>979779</v>
      </c>
    </row>
    <row r="237" spans="1:11" ht="12.95" customHeight="1" x14ac:dyDescent="0.2">
      <c r="A237" s="171"/>
      <c r="B237" s="152"/>
      <c r="C237" s="299" t="s">
        <v>152</v>
      </c>
      <c r="D237" s="300"/>
      <c r="E237" s="232">
        <f t="shared" ref="E237:K237" si="86">SUM(E238:E241)</f>
        <v>762059</v>
      </c>
      <c r="F237" s="232">
        <f t="shared" si="86"/>
        <v>0</v>
      </c>
      <c r="G237" s="232">
        <f t="shared" si="86"/>
        <v>762059</v>
      </c>
      <c r="H237" s="232">
        <f t="shared" si="86"/>
        <v>-19419</v>
      </c>
      <c r="I237" s="232">
        <f t="shared" si="86"/>
        <v>742640</v>
      </c>
      <c r="J237" s="232">
        <f t="shared" si="86"/>
        <v>0</v>
      </c>
      <c r="K237" s="232">
        <f t="shared" si="86"/>
        <v>742640</v>
      </c>
    </row>
    <row r="238" spans="1:11" ht="12.95" customHeight="1" x14ac:dyDescent="0.2">
      <c r="A238" s="172"/>
      <c r="B238" s="172"/>
      <c r="C238" s="144">
        <v>4010</v>
      </c>
      <c r="D238" s="185" t="s">
        <v>176</v>
      </c>
      <c r="E238" s="233">
        <v>603059</v>
      </c>
      <c r="F238" s="233"/>
      <c r="G238" s="233">
        <f>SUM(E238:F238)</f>
        <v>603059</v>
      </c>
      <c r="H238" s="233">
        <f>-13419</f>
        <v>-13419</v>
      </c>
      <c r="I238" s="233">
        <f>SUM(G238:H238)</f>
        <v>589640</v>
      </c>
      <c r="J238" s="233"/>
      <c r="K238" s="233">
        <f>SUM(I238:J238)</f>
        <v>589640</v>
      </c>
    </row>
    <row r="239" spans="1:11" ht="12.95" customHeight="1" x14ac:dyDescent="0.2">
      <c r="A239" s="172"/>
      <c r="B239" s="172"/>
      <c r="C239" s="144">
        <v>4040</v>
      </c>
      <c r="D239" s="185" t="s">
        <v>178</v>
      </c>
      <c r="E239" s="233">
        <v>45000</v>
      </c>
      <c r="F239" s="233"/>
      <c r="G239" s="233">
        <f>SUM(E239:F239)</f>
        <v>45000</v>
      </c>
      <c r="H239" s="233"/>
      <c r="I239" s="233">
        <f>SUM(G239:H239)</f>
        <v>45000</v>
      </c>
      <c r="J239" s="233"/>
      <c r="K239" s="233">
        <f>SUM(I239:J239)</f>
        <v>45000</v>
      </c>
    </row>
    <row r="240" spans="1:11" ht="12.95" customHeight="1" x14ac:dyDescent="0.2">
      <c r="A240" s="172"/>
      <c r="B240" s="172"/>
      <c r="C240" s="144">
        <v>4110</v>
      </c>
      <c r="D240" s="185" t="s">
        <v>179</v>
      </c>
      <c r="E240" s="233">
        <v>100000</v>
      </c>
      <c r="F240" s="233"/>
      <c r="G240" s="233">
        <f>SUM(E240:F240)</f>
        <v>100000</v>
      </c>
      <c r="H240" s="233">
        <f>-3000</f>
        <v>-3000</v>
      </c>
      <c r="I240" s="233">
        <f>SUM(G240:H240)</f>
        <v>97000</v>
      </c>
      <c r="J240" s="233"/>
      <c r="K240" s="233">
        <f>SUM(I240:J240)</f>
        <v>97000</v>
      </c>
    </row>
    <row r="241" spans="1:11" ht="12.95" customHeight="1" x14ac:dyDescent="0.2">
      <c r="A241" s="172"/>
      <c r="B241" s="172"/>
      <c r="C241" s="144">
        <v>4120</v>
      </c>
      <c r="D241" s="185" t="s">
        <v>180</v>
      </c>
      <c r="E241" s="233">
        <v>14000</v>
      </c>
      <c r="F241" s="233"/>
      <c r="G241" s="233">
        <f>SUM(E241:F241)</f>
        <v>14000</v>
      </c>
      <c r="H241" s="233">
        <f>-3000</f>
        <v>-3000</v>
      </c>
      <c r="I241" s="233">
        <f>SUM(G241:H241)</f>
        <v>11000</v>
      </c>
      <c r="J241" s="233"/>
      <c r="K241" s="233">
        <f>SUM(I241:J241)</f>
        <v>11000</v>
      </c>
    </row>
    <row r="242" spans="1:11" ht="12.95" customHeight="1" x14ac:dyDescent="0.2">
      <c r="A242" s="171"/>
      <c r="B242" s="212"/>
      <c r="C242" s="297" t="s">
        <v>150</v>
      </c>
      <c r="D242" s="298"/>
      <c r="E242" s="232">
        <f t="shared" ref="E242:K242" si="87">SUM(E243)</f>
        <v>1294</v>
      </c>
      <c r="F242" s="232">
        <f t="shared" si="87"/>
        <v>0</v>
      </c>
      <c r="G242" s="232">
        <f t="shared" si="87"/>
        <v>1294</v>
      </c>
      <c r="H242" s="232">
        <f t="shared" si="87"/>
        <v>0</v>
      </c>
      <c r="I242" s="232">
        <f t="shared" si="87"/>
        <v>1294</v>
      </c>
      <c r="J242" s="232">
        <f t="shared" si="87"/>
        <v>0</v>
      </c>
      <c r="K242" s="232">
        <f t="shared" si="87"/>
        <v>1294</v>
      </c>
    </row>
    <row r="243" spans="1:11" ht="12.95" customHeight="1" x14ac:dyDescent="0.2">
      <c r="A243" s="172"/>
      <c r="B243" s="172"/>
      <c r="C243" s="144">
        <v>3020</v>
      </c>
      <c r="D243" s="192" t="s">
        <v>181</v>
      </c>
      <c r="E243" s="233">
        <v>1294</v>
      </c>
      <c r="F243" s="233"/>
      <c r="G243" s="233">
        <f>SUM(E243:F243)</f>
        <v>1294</v>
      </c>
      <c r="H243" s="233"/>
      <c r="I243" s="233">
        <f>SUM(G243:H243)</f>
        <v>1294</v>
      </c>
      <c r="J243" s="233"/>
      <c r="K243" s="233">
        <f>SUM(I243:J243)</f>
        <v>1294</v>
      </c>
    </row>
    <row r="244" spans="1:11" ht="26.25" customHeight="1" x14ac:dyDescent="0.2">
      <c r="A244" s="171"/>
      <c r="B244" s="207"/>
      <c r="C244" s="295" t="s">
        <v>294</v>
      </c>
      <c r="D244" s="296"/>
      <c r="E244" s="232">
        <f t="shared" ref="E244:K244" si="88">SUM(E245)</f>
        <v>41699</v>
      </c>
      <c r="F244" s="232">
        <f t="shared" si="88"/>
        <v>0</v>
      </c>
      <c r="G244" s="232">
        <f t="shared" si="88"/>
        <v>41699</v>
      </c>
      <c r="H244" s="232">
        <f t="shared" si="88"/>
        <v>0</v>
      </c>
      <c r="I244" s="232">
        <f t="shared" si="88"/>
        <v>41699</v>
      </c>
      <c r="J244" s="232">
        <f t="shared" si="88"/>
        <v>0</v>
      </c>
      <c r="K244" s="232">
        <f t="shared" si="88"/>
        <v>41699</v>
      </c>
    </row>
    <row r="245" spans="1:11" ht="12.95" customHeight="1" x14ac:dyDescent="0.2">
      <c r="A245" s="172"/>
      <c r="B245" s="172"/>
      <c r="C245" s="145">
        <v>4440</v>
      </c>
      <c r="D245" s="191" t="s">
        <v>186</v>
      </c>
      <c r="E245" s="233">
        <v>41699</v>
      </c>
      <c r="F245" s="233"/>
      <c r="G245" s="233">
        <f>SUM(E245:F245)</f>
        <v>41699</v>
      </c>
      <c r="H245" s="233"/>
      <c r="I245" s="233">
        <f>SUM(G245:H245)</f>
        <v>41699</v>
      </c>
      <c r="J245" s="233"/>
      <c r="K245" s="233">
        <f>SUM(I245:J245)</f>
        <v>41699</v>
      </c>
    </row>
    <row r="246" spans="1:11" ht="24" customHeight="1" x14ac:dyDescent="0.2">
      <c r="A246" s="172"/>
      <c r="B246" s="172"/>
      <c r="C246" s="323" t="s">
        <v>275</v>
      </c>
      <c r="D246" s="324"/>
      <c r="E246" s="237">
        <f t="shared" ref="E246:K246" si="89">SUM(E247:E252)</f>
        <v>188219</v>
      </c>
      <c r="F246" s="237">
        <f t="shared" si="89"/>
        <v>5927</v>
      </c>
      <c r="G246" s="237">
        <f t="shared" si="89"/>
        <v>194146</v>
      </c>
      <c r="H246" s="237">
        <f t="shared" si="89"/>
        <v>0</v>
      </c>
      <c r="I246" s="237">
        <f t="shared" si="89"/>
        <v>194146</v>
      </c>
      <c r="J246" s="237">
        <f t="shared" si="89"/>
        <v>0</v>
      </c>
      <c r="K246" s="237">
        <f t="shared" si="89"/>
        <v>194146</v>
      </c>
    </row>
    <row r="247" spans="1:11" ht="13.5" customHeight="1" x14ac:dyDescent="0.2">
      <c r="A247" s="172"/>
      <c r="B247" s="172"/>
      <c r="C247" s="224">
        <v>4011</v>
      </c>
      <c r="D247" s="225" t="s">
        <v>176</v>
      </c>
      <c r="E247" s="233">
        <v>13155</v>
      </c>
      <c r="F247" s="233">
        <v>1245</v>
      </c>
      <c r="G247" s="233">
        <f t="shared" ref="G247:G252" si="90">SUM(E247:F247)</f>
        <v>14400</v>
      </c>
      <c r="H247" s="233"/>
      <c r="I247" s="233">
        <f t="shared" ref="I247:I252" si="91">SUM(G247:H247)</f>
        <v>14400</v>
      </c>
      <c r="J247" s="233"/>
      <c r="K247" s="233">
        <f t="shared" ref="K247:K252" si="92">SUM(I247:J247)</f>
        <v>14400</v>
      </c>
    </row>
    <row r="248" spans="1:11" ht="12.95" customHeight="1" x14ac:dyDescent="0.2">
      <c r="A248" s="172"/>
      <c r="B248" s="172"/>
      <c r="C248" s="145">
        <v>4111</v>
      </c>
      <c r="D248" s="191" t="s">
        <v>179</v>
      </c>
      <c r="E248" s="233">
        <v>2261</v>
      </c>
      <c r="F248" s="233">
        <v>485</v>
      </c>
      <c r="G248" s="233">
        <f t="shared" si="90"/>
        <v>2746</v>
      </c>
      <c r="H248" s="233"/>
      <c r="I248" s="233">
        <f t="shared" si="91"/>
        <v>2746</v>
      </c>
      <c r="J248" s="233"/>
      <c r="K248" s="233">
        <f t="shared" si="92"/>
        <v>2746</v>
      </c>
    </row>
    <row r="249" spans="1:11" ht="12.95" customHeight="1" x14ac:dyDescent="0.2">
      <c r="A249" s="172"/>
      <c r="B249" s="172"/>
      <c r="C249" s="145">
        <v>4121</v>
      </c>
      <c r="D249" s="191" t="s">
        <v>180</v>
      </c>
      <c r="E249" s="233">
        <v>184</v>
      </c>
      <c r="F249" s="233">
        <v>22</v>
      </c>
      <c r="G249" s="233">
        <f t="shared" si="90"/>
        <v>206</v>
      </c>
      <c r="H249" s="233"/>
      <c r="I249" s="233">
        <f t="shared" si="91"/>
        <v>206</v>
      </c>
      <c r="J249" s="233"/>
      <c r="K249" s="233">
        <f t="shared" si="92"/>
        <v>206</v>
      </c>
    </row>
    <row r="250" spans="1:11" ht="12.95" customHeight="1" x14ac:dyDescent="0.2">
      <c r="A250" s="172"/>
      <c r="B250" s="172"/>
      <c r="C250" s="145">
        <v>4211</v>
      </c>
      <c r="D250" s="191" t="s">
        <v>154</v>
      </c>
      <c r="E250" s="233">
        <v>19680</v>
      </c>
      <c r="F250" s="233">
        <v>-1790</v>
      </c>
      <c r="G250" s="233">
        <f t="shared" si="90"/>
        <v>17890</v>
      </c>
      <c r="H250" s="233"/>
      <c r="I250" s="233">
        <f t="shared" si="91"/>
        <v>17890</v>
      </c>
      <c r="J250" s="233"/>
      <c r="K250" s="233">
        <f t="shared" si="92"/>
        <v>17890</v>
      </c>
    </row>
    <row r="251" spans="1:11" ht="12.95" customHeight="1" x14ac:dyDescent="0.2">
      <c r="A251" s="172"/>
      <c r="B251" s="172"/>
      <c r="C251" s="145">
        <v>4301</v>
      </c>
      <c r="D251" s="191" t="s">
        <v>145</v>
      </c>
      <c r="E251" s="233">
        <v>117659</v>
      </c>
      <c r="F251" s="233">
        <v>-130</v>
      </c>
      <c r="G251" s="233">
        <f t="shared" si="90"/>
        <v>117529</v>
      </c>
      <c r="H251" s="233"/>
      <c r="I251" s="233">
        <f t="shared" si="91"/>
        <v>117529</v>
      </c>
      <c r="J251" s="233"/>
      <c r="K251" s="233">
        <f t="shared" si="92"/>
        <v>117529</v>
      </c>
    </row>
    <row r="252" spans="1:11" ht="12.95" customHeight="1" x14ac:dyDescent="0.2">
      <c r="A252" s="172"/>
      <c r="B252" s="172"/>
      <c r="C252" s="145">
        <v>4701</v>
      </c>
      <c r="D252" s="191" t="s">
        <v>214</v>
      </c>
      <c r="E252" s="233">
        <v>35280</v>
      </c>
      <c r="F252" s="233">
        <v>6095</v>
      </c>
      <c r="G252" s="233">
        <f t="shared" si="90"/>
        <v>41375</v>
      </c>
      <c r="H252" s="233"/>
      <c r="I252" s="233">
        <f t="shared" si="91"/>
        <v>41375</v>
      </c>
      <c r="J252" s="233"/>
      <c r="K252" s="233">
        <f t="shared" si="92"/>
        <v>41375</v>
      </c>
    </row>
    <row r="253" spans="1:11" ht="12.95" customHeight="1" x14ac:dyDescent="0.2">
      <c r="A253" s="167"/>
      <c r="B253" s="167">
        <v>80110</v>
      </c>
      <c r="C253" s="146"/>
      <c r="D253" s="188" t="s">
        <v>216</v>
      </c>
      <c r="E253" s="234">
        <f t="shared" ref="E253:K253" si="93">SUM(E254,E259,E261)</f>
        <v>324278</v>
      </c>
      <c r="F253" s="234">
        <f t="shared" si="93"/>
        <v>0</v>
      </c>
      <c r="G253" s="234">
        <f t="shared" si="93"/>
        <v>324278</v>
      </c>
      <c r="H253" s="234">
        <f t="shared" si="93"/>
        <v>-7823</v>
      </c>
      <c r="I253" s="234">
        <f t="shared" si="93"/>
        <v>316455</v>
      </c>
      <c r="J253" s="234">
        <f t="shared" si="93"/>
        <v>0</v>
      </c>
      <c r="K253" s="234">
        <f t="shared" si="93"/>
        <v>316455</v>
      </c>
    </row>
    <row r="254" spans="1:11" ht="12.95" customHeight="1" x14ac:dyDescent="0.2">
      <c r="A254" s="171"/>
      <c r="B254" s="152"/>
      <c r="C254" s="299" t="s">
        <v>152</v>
      </c>
      <c r="D254" s="300"/>
      <c r="E254" s="232">
        <f t="shared" ref="E254:K254" si="94">SUM(E255:E258)</f>
        <v>291362</v>
      </c>
      <c r="F254" s="232">
        <f t="shared" si="94"/>
        <v>0</v>
      </c>
      <c r="G254" s="232">
        <f t="shared" si="94"/>
        <v>291362</v>
      </c>
      <c r="H254" s="232">
        <f t="shared" si="94"/>
        <v>-7823</v>
      </c>
      <c r="I254" s="232">
        <f t="shared" si="94"/>
        <v>283539</v>
      </c>
      <c r="J254" s="232">
        <f t="shared" si="94"/>
        <v>0</v>
      </c>
      <c r="K254" s="232">
        <f t="shared" si="94"/>
        <v>283539</v>
      </c>
    </row>
    <row r="255" spans="1:11" ht="12.95" customHeight="1" x14ac:dyDescent="0.2">
      <c r="A255" s="172"/>
      <c r="B255" s="172"/>
      <c r="C255" s="144">
        <v>4010</v>
      </c>
      <c r="D255" s="185" t="s">
        <v>176</v>
      </c>
      <c r="E255" s="233">
        <f>189797+26373</f>
        <v>216170</v>
      </c>
      <c r="F255" s="233"/>
      <c r="G255" s="233">
        <f>SUM(E255:F255)</f>
        <v>216170</v>
      </c>
      <c r="H255" s="233">
        <f>-713</f>
        <v>-713</v>
      </c>
      <c r="I255" s="233">
        <f>SUM(G255:H255)</f>
        <v>215457</v>
      </c>
      <c r="J255" s="233"/>
      <c r="K255" s="233">
        <f>SUM(I255:J255)</f>
        <v>215457</v>
      </c>
    </row>
    <row r="256" spans="1:11" ht="12.95" customHeight="1" x14ac:dyDescent="0.2">
      <c r="A256" s="172"/>
      <c r="B256" s="172"/>
      <c r="C256" s="144">
        <v>4040</v>
      </c>
      <c r="D256" s="185" t="s">
        <v>178</v>
      </c>
      <c r="E256" s="233">
        <f>18433+3164</f>
        <v>21597</v>
      </c>
      <c r="F256" s="233"/>
      <c r="G256" s="233">
        <f>SUM(E256:F256)</f>
        <v>21597</v>
      </c>
      <c r="H256" s="233">
        <f>-3846</f>
        <v>-3846</v>
      </c>
      <c r="I256" s="233">
        <f>SUM(G256:H256)</f>
        <v>17751</v>
      </c>
      <c r="J256" s="233"/>
      <c r="K256" s="233">
        <f>SUM(I256:J256)</f>
        <v>17751</v>
      </c>
    </row>
    <row r="257" spans="1:11" ht="12.95" customHeight="1" x14ac:dyDescent="0.2">
      <c r="A257" s="172"/>
      <c r="B257" s="172"/>
      <c r="C257" s="144">
        <v>4110</v>
      </c>
      <c r="D257" s="185" t="s">
        <v>179</v>
      </c>
      <c r="E257" s="233">
        <f>41804+5078</f>
        <v>46882</v>
      </c>
      <c r="F257" s="233"/>
      <c r="G257" s="233">
        <f>SUM(E257:F257)</f>
        <v>46882</v>
      </c>
      <c r="H257" s="233">
        <f>-123-3124</f>
        <v>-3247</v>
      </c>
      <c r="I257" s="233">
        <f>SUM(G257:H257)</f>
        <v>43635</v>
      </c>
      <c r="J257" s="233"/>
      <c r="K257" s="233">
        <f>SUM(I257:J257)</f>
        <v>43635</v>
      </c>
    </row>
    <row r="258" spans="1:11" ht="12.95" customHeight="1" x14ac:dyDescent="0.2">
      <c r="A258" s="172"/>
      <c r="B258" s="172"/>
      <c r="C258" s="144">
        <v>4120</v>
      </c>
      <c r="D258" s="185" t="s">
        <v>180</v>
      </c>
      <c r="E258" s="233">
        <f>5989+724</f>
        <v>6713</v>
      </c>
      <c r="F258" s="233"/>
      <c r="G258" s="233">
        <f>SUM(E258:F258)</f>
        <v>6713</v>
      </c>
      <c r="H258" s="233">
        <f>-17</f>
        <v>-17</v>
      </c>
      <c r="I258" s="233">
        <f>SUM(G258:H258)</f>
        <v>6696</v>
      </c>
      <c r="J258" s="233"/>
      <c r="K258" s="233">
        <f>SUM(I258:J258)</f>
        <v>6696</v>
      </c>
    </row>
    <row r="259" spans="1:11" ht="12.95" customHeight="1" x14ac:dyDescent="0.2">
      <c r="A259" s="171"/>
      <c r="B259" s="212"/>
      <c r="C259" s="297" t="s">
        <v>150</v>
      </c>
      <c r="D259" s="298"/>
      <c r="E259" s="232">
        <f t="shared" ref="E259:K259" si="95">SUM(E260)</f>
        <v>17802</v>
      </c>
      <c r="F259" s="232">
        <f t="shared" si="95"/>
        <v>0</v>
      </c>
      <c r="G259" s="232">
        <f t="shared" si="95"/>
        <v>17802</v>
      </c>
      <c r="H259" s="232">
        <f t="shared" si="95"/>
        <v>0</v>
      </c>
      <c r="I259" s="232">
        <f t="shared" si="95"/>
        <v>17802</v>
      </c>
      <c r="J259" s="232">
        <f t="shared" si="95"/>
        <v>0</v>
      </c>
      <c r="K259" s="232">
        <f t="shared" si="95"/>
        <v>17802</v>
      </c>
    </row>
    <row r="260" spans="1:11" ht="12.95" customHeight="1" x14ac:dyDescent="0.2">
      <c r="A260" s="172"/>
      <c r="B260" s="172"/>
      <c r="C260" s="144">
        <v>3020</v>
      </c>
      <c r="D260" s="192" t="s">
        <v>181</v>
      </c>
      <c r="E260" s="233">
        <f>17802</f>
        <v>17802</v>
      </c>
      <c r="F260" s="233"/>
      <c r="G260" s="233">
        <f>SUM(E260:F260)</f>
        <v>17802</v>
      </c>
      <c r="H260" s="233"/>
      <c r="I260" s="233">
        <f>SUM(G260:H260)</f>
        <v>17802</v>
      </c>
      <c r="J260" s="233"/>
      <c r="K260" s="233">
        <f>SUM(I260:J260)</f>
        <v>17802</v>
      </c>
    </row>
    <row r="261" spans="1:11" ht="26.25" customHeight="1" x14ac:dyDescent="0.2">
      <c r="A261" s="171"/>
      <c r="B261" s="207"/>
      <c r="C261" s="295" t="s">
        <v>294</v>
      </c>
      <c r="D261" s="296"/>
      <c r="E261" s="232">
        <f t="shared" ref="E261:K261" si="96">SUM(E262:E262)</f>
        <v>15114</v>
      </c>
      <c r="F261" s="232">
        <f t="shared" si="96"/>
        <v>0</v>
      </c>
      <c r="G261" s="232">
        <f t="shared" si="96"/>
        <v>15114</v>
      </c>
      <c r="H261" s="232">
        <f t="shared" si="96"/>
        <v>0</v>
      </c>
      <c r="I261" s="232">
        <f t="shared" si="96"/>
        <v>15114</v>
      </c>
      <c r="J261" s="232">
        <f t="shared" si="96"/>
        <v>0</v>
      </c>
      <c r="K261" s="232">
        <f t="shared" si="96"/>
        <v>15114</v>
      </c>
    </row>
    <row r="262" spans="1:11" ht="12.95" customHeight="1" x14ac:dyDescent="0.2">
      <c r="A262" s="172"/>
      <c r="B262" s="172"/>
      <c r="C262" s="145">
        <v>4440</v>
      </c>
      <c r="D262" s="191" t="s">
        <v>186</v>
      </c>
      <c r="E262" s="233">
        <f>15114</f>
        <v>15114</v>
      </c>
      <c r="F262" s="233"/>
      <c r="G262" s="233">
        <f>SUM(E262:F262)</f>
        <v>15114</v>
      </c>
      <c r="H262" s="233"/>
      <c r="I262" s="233">
        <f>SUM(G262:H262)</f>
        <v>15114</v>
      </c>
      <c r="J262" s="233"/>
      <c r="K262" s="233">
        <f>SUM(I262:J262)</f>
        <v>15114</v>
      </c>
    </row>
    <row r="263" spans="1:11" ht="12.95" customHeight="1" x14ac:dyDescent="0.2">
      <c r="A263" s="167"/>
      <c r="B263" s="167">
        <v>80111</v>
      </c>
      <c r="C263" s="146"/>
      <c r="D263" s="188" t="s">
        <v>87</v>
      </c>
      <c r="E263" s="234">
        <f t="shared" ref="E263:K263" si="97">SUM(E264,E269,E271)</f>
        <v>756937</v>
      </c>
      <c r="F263" s="234">
        <f t="shared" si="97"/>
        <v>0</v>
      </c>
      <c r="G263" s="234">
        <f t="shared" si="97"/>
        <v>756937</v>
      </c>
      <c r="H263" s="234">
        <f t="shared" si="97"/>
        <v>-18259</v>
      </c>
      <c r="I263" s="234">
        <f t="shared" si="97"/>
        <v>738678</v>
      </c>
      <c r="J263" s="234">
        <f t="shared" si="97"/>
        <v>0</v>
      </c>
      <c r="K263" s="234">
        <f t="shared" si="97"/>
        <v>738678</v>
      </c>
    </row>
    <row r="264" spans="1:11" ht="12.95" customHeight="1" x14ac:dyDescent="0.2">
      <c r="A264" s="171"/>
      <c r="B264" s="152"/>
      <c r="C264" s="299" t="s">
        <v>152</v>
      </c>
      <c r="D264" s="300"/>
      <c r="E264" s="232">
        <f t="shared" ref="E264:K264" si="98">SUM(E265:E268)</f>
        <v>723311</v>
      </c>
      <c r="F264" s="232">
        <f t="shared" si="98"/>
        <v>0</v>
      </c>
      <c r="G264" s="232">
        <f t="shared" si="98"/>
        <v>723311</v>
      </c>
      <c r="H264" s="232">
        <f t="shared" si="98"/>
        <v>-18259</v>
      </c>
      <c r="I264" s="232">
        <f t="shared" si="98"/>
        <v>705052</v>
      </c>
      <c r="J264" s="232">
        <f t="shared" si="98"/>
        <v>0</v>
      </c>
      <c r="K264" s="232">
        <f t="shared" si="98"/>
        <v>705052</v>
      </c>
    </row>
    <row r="265" spans="1:11" ht="12.95" customHeight="1" x14ac:dyDescent="0.2">
      <c r="A265" s="172"/>
      <c r="B265" s="172"/>
      <c r="C265" s="144">
        <v>4010</v>
      </c>
      <c r="D265" s="185" t="s">
        <v>176</v>
      </c>
      <c r="E265" s="233">
        <v>572311</v>
      </c>
      <c r="F265" s="233"/>
      <c r="G265" s="233">
        <f>SUM(E265:F265)</f>
        <v>572311</v>
      </c>
      <c r="H265" s="233">
        <f>-10759</f>
        <v>-10759</v>
      </c>
      <c r="I265" s="233">
        <f>SUM(G265:H265)</f>
        <v>561552</v>
      </c>
      <c r="J265" s="233"/>
      <c r="K265" s="233">
        <f>SUM(I265:J265)</f>
        <v>561552</v>
      </c>
    </row>
    <row r="266" spans="1:11" ht="12.95" customHeight="1" x14ac:dyDescent="0.2">
      <c r="A266" s="172"/>
      <c r="B266" s="172"/>
      <c r="C266" s="144">
        <v>4040</v>
      </c>
      <c r="D266" s="185" t="s">
        <v>178</v>
      </c>
      <c r="E266" s="233">
        <v>43000</v>
      </c>
      <c r="F266" s="233"/>
      <c r="G266" s="233">
        <f>SUM(E266:F266)</f>
        <v>43000</v>
      </c>
      <c r="H266" s="233"/>
      <c r="I266" s="233">
        <f>SUM(G266:H266)</f>
        <v>43000</v>
      </c>
      <c r="J266" s="233"/>
      <c r="K266" s="233">
        <f>SUM(I266:J266)</f>
        <v>43000</v>
      </c>
    </row>
    <row r="267" spans="1:11" ht="12.95" customHeight="1" x14ac:dyDescent="0.2">
      <c r="A267" s="172"/>
      <c r="B267" s="172"/>
      <c r="C267" s="144">
        <v>4110</v>
      </c>
      <c r="D267" s="185" t="s">
        <v>179</v>
      </c>
      <c r="E267" s="233">
        <v>95000</v>
      </c>
      <c r="F267" s="233"/>
      <c r="G267" s="233">
        <f>SUM(E267:F267)</f>
        <v>95000</v>
      </c>
      <c r="H267" s="233">
        <f>-6000</f>
        <v>-6000</v>
      </c>
      <c r="I267" s="233">
        <f>SUM(G267:H267)</f>
        <v>89000</v>
      </c>
      <c r="J267" s="233"/>
      <c r="K267" s="233">
        <f>SUM(I267:J267)</f>
        <v>89000</v>
      </c>
    </row>
    <row r="268" spans="1:11" ht="12.95" customHeight="1" x14ac:dyDescent="0.2">
      <c r="A268" s="172"/>
      <c r="B268" s="172"/>
      <c r="C268" s="144">
        <v>4120</v>
      </c>
      <c r="D268" s="185" t="s">
        <v>180</v>
      </c>
      <c r="E268" s="233">
        <v>13000</v>
      </c>
      <c r="F268" s="233"/>
      <c r="G268" s="233">
        <f>SUM(E268:F268)</f>
        <v>13000</v>
      </c>
      <c r="H268" s="233">
        <f>-1500</f>
        <v>-1500</v>
      </c>
      <c r="I268" s="233">
        <f>SUM(G268:H268)</f>
        <v>11500</v>
      </c>
      <c r="J268" s="233"/>
      <c r="K268" s="233">
        <f>SUM(I268:J268)</f>
        <v>11500</v>
      </c>
    </row>
    <row r="269" spans="1:11" ht="12.95" customHeight="1" x14ac:dyDescent="0.2">
      <c r="A269" s="171"/>
      <c r="B269" s="212"/>
      <c r="C269" s="297" t="s">
        <v>150</v>
      </c>
      <c r="D269" s="298"/>
      <c r="E269" s="232">
        <f t="shared" ref="E269:K269" si="99">SUM(E270)</f>
        <v>1513</v>
      </c>
      <c r="F269" s="232">
        <f t="shared" si="99"/>
        <v>0</v>
      </c>
      <c r="G269" s="232">
        <f t="shared" si="99"/>
        <v>1513</v>
      </c>
      <c r="H269" s="232">
        <f t="shared" si="99"/>
        <v>0</v>
      </c>
      <c r="I269" s="232">
        <f t="shared" si="99"/>
        <v>1513</v>
      </c>
      <c r="J269" s="232">
        <f t="shared" si="99"/>
        <v>0</v>
      </c>
      <c r="K269" s="232">
        <f t="shared" si="99"/>
        <v>1513</v>
      </c>
    </row>
    <row r="270" spans="1:11" ht="12.95" customHeight="1" x14ac:dyDescent="0.2">
      <c r="A270" s="172"/>
      <c r="B270" s="172"/>
      <c r="C270" s="144">
        <v>3020</v>
      </c>
      <c r="D270" s="192" t="s">
        <v>181</v>
      </c>
      <c r="E270" s="233">
        <v>1513</v>
      </c>
      <c r="F270" s="233"/>
      <c r="G270" s="233">
        <f>SUM(E270:F270)</f>
        <v>1513</v>
      </c>
      <c r="H270" s="233"/>
      <c r="I270" s="233">
        <f>SUM(G270:H270)</f>
        <v>1513</v>
      </c>
      <c r="J270" s="233"/>
      <c r="K270" s="233">
        <f>SUM(I270:J270)</f>
        <v>1513</v>
      </c>
    </row>
    <row r="271" spans="1:11" ht="21.75" customHeight="1" x14ac:dyDescent="0.2">
      <c r="A271" s="171"/>
      <c r="B271" s="207"/>
      <c r="C271" s="295" t="s">
        <v>294</v>
      </c>
      <c r="D271" s="296"/>
      <c r="E271" s="232">
        <f t="shared" ref="E271:K271" si="100">SUM(E272)</f>
        <v>32113</v>
      </c>
      <c r="F271" s="232">
        <f t="shared" si="100"/>
        <v>0</v>
      </c>
      <c r="G271" s="232">
        <f t="shared" si="100"/>
        <v>32113</v>
      </c>
      <c r="H271" s="232">
        <f t="shared" si="100"/>
        <v>0</v>
      </c>
      <c r="I271" s="232">
        <f t="shared" si="100"/>
        <v>32113</v>
      </c>
      <c r="J271" s="232">
        <f t="shared" si="100"/>
        <v>0</v>
      </c>
      <c r="K271" s="232">
        <f t="shared" si="100"/>
        <v>32113</v>
      </c>
    </row>
    <row r="272" spans="1:11" ht="12.95" customHeight="1" x14ac:dyDescent="0.2">
      <c r="A272" s="172"/>
      <c r="B272" s="172"/>
      <c r="C272" s="145">
        <v>4440</v>
      </c>
      <c r="D272" s="191" t="s">
        <v>186</v>
      </c>
      <c r="E272" s="233">
        <v>32113</v>
      </c>
      <c r="F272" s="233"/>
      <c r="G272" s="233">
        <f>SUM(E272:F272)</f>
        <v>32113</v>
      </c>
      <c r="H272" s="233"/>
      <c r="I272" s="233">
        <f>SUM(G272:H272)</f>
        <v>32113</v>
      </c>
      <c r="J272" s="233"/>
      <c r="K272" s="233">
        <f>SUM(I272:J272)</f>
        <v>32113</v>
      </c>
    </row>
    <row r="273" spans="1:11" ht="12.95" customHeight="1" x14ac:dyDescent="0.2">
      <c r="A273" s="167"/>
      <c r="B273" s="167">
        <v>80120</v>
      </c>
      <c r="C273" s="146"/>
      <c r="D273" s="188" t="s">
        <v>88</v>
      </c>
      <c r="E273" s="234">
        <f>SUM(E274+E280+E282+E284)</f>
        <v>8558823</v>
      </c>
      <c r="F273" s="234">
        <f>SUM(F274+F280+F282+F284)</f>
        <v>0</v>
      </c>
      <c r="G273" s="234">
        <f>SUM(G274+G280+G282+G284)</f>
        <v>8558823</v>
      </c>
      <c r="H273" s="234">
        <f>SUM(H274+H280+H282+H284)</f>
        <v>-640853</v>
      </c>
      <c r="I273" s="234">
        <f>SUM(I274+I280+I282+I284+I297)</f>
        <v>7917970</v>
      </c>
      <c r="J273" s="234">
        <f>SUM(J274+J280+J282+J284+J297)</f>
        <v>39083</v>
      </c>
      <c r="K273" s="234">
        <f>SUM(K274+K280+K282+K284+K297)</f>
        <v>7957053</v>
      </c>
    </row>
    <row r="274" spans="1:11" ht="12.95" customHeight="1" x14ac:dyDescent="0.2">
      <c r="A274" s="168"/>
      <c r="B274" s="152"/>
      <c r="C274" s="299" t="s">
        <v>152</v>
      </c>
      <c r="D274" s="300"/>
      <c r="E274" s="232">
        <f t="shared" ref="E274:K274" si="101">SUM(E275:E279)</f>
        <v>6845995</v>
      </c>
      <c r="F274" s="232">
        <f t="shared" si="101"/>
        <v>0</v>
      </c>
      <c r="G274" s="232">
        <f t="shared" si="101"/>
        <v>6845995</v>
      </c>
      <c r="H274" s="232">
        <f t="shared" si="101"/>
        <v>-556143</v>
      </c>
      <c r="I274" s="232">
        <f t="shared" si="101"/>
        <v>6289852</v>
      </c>
      <c r="J274" s="232">
        <f t="shared" si="101"/>
        <v>0</v>
      </c>
      <c r="K274" s="232">
        <f t="shared" si="101"/>
        <v>6289852</v>
      </c>
    </row>
    <row r="275" spans="1:11" ht="12.95" customHeight="1" x14ac:dyDescent="0.2">
      <c r="A275" s="157"/>
      <c r="B275" s="157"/>
      <c r="C275" s="144">
        <v>4010</v>
      </c>
      <c r="D275" s="185" t="s">
        <v>176</v>
      </c>
      <c r="E275" s="233">
        <f>2200000+1504000+551838+563766+423128</f>
        <v>5242732</v>
      </c>
      <c r="F275" s="233"/>
      <c r="G275" s="233">
        <f>SUM(E275:F275)</f>
        <v>5242732</v>
      </c>
      <c r="H275" s="233">
        <f>-140628-35405-55000-148220-38826-22350</f>
        <v>-440429</v>
      </c>
      <c r="I275" s="233">
        <f>SUM(G275:H275)</f>
        <v>4802303</v>
      </c>
      <c r="J275" s="233"/>
      <c r="K275" s="233">
        <f>SUM(I275:J275)</f>
        <v>4802303</v>
      </c>
    </row>
    <row r="276" spans="1:11" ht="12.95" customHeight="1" x14ac:dyDescent="0.2">
      <c r="A276" s="157"/>
      <c r="B276" s="157"/>
      <c r="C276" s="144">
        <v>4040</v>
      </c>
      <c r="D276" s="185" t="s">
        <v>178</v>
      </c>
      <c r="E276" s="233">
        <f>198000+140928+59808+46049+31916</f>
        <v>476701</v>
      </c>
      <c r="F276" s="233"/>
      <c r="G276" s="233">
        <f>SUM(E276:F276)</f>
        <v>476701</v>
      </c>
      <c r="H276" s="233">
        <f>-6672-1795-2637</f>
        <v>-11104</v>
      </c>
      <c r="I276" s="233">
        <f>SUM(G276:H276)</f>
        <v>465597</v>
      </c>
      <c r="J276" s="233"/>
      <c r="K276" s="233">
        <f>SUM(I276:J276)</f>
        <v>465597</v>
      </c>
    </row>
    <row r="277" spans="1:11" ht="12.95" customHeight="1" x14ac:dyDescent="0.2">
      <c r="A277" s="157"/>
      <c r="B277" s="157"/>
      <c r="C277" s="144">
        <v>4110</v>
      </c>
      <c r="D277" s="185" t="s">
        <v>179</v>
      </c>
      <c r="E277" s="233">
        <f>380000+250397+125041+103705+77767</f>
        <v>936910</v>
      </c>
      <c r="F277" s="233"/>
      <c r="G277" s="233">
        <f>SUM(E277:F277)</f>
        <v>936910</v>
      </c>
      <c r="H277" s="233">
        <f>-23515-6513-5000-25479-8000-3822-15136</f>
        <v>-87465</v>
      </c>
      <c r="I277" s="233">
        <f>SUM(G277:H277)</f>
        <v>849445</v>
      </c>
      <c r="J277" s="233"/>
      <c r="K277" s="233">
        <f>SUM(I277:J277)</f>
        <v>849445</v>
      </c>
    </row>
    <row r="278" spans="1:11" ht="12.95" customHeight="1" x14ac:dyDescent="0.2">
      <c r="A278" s="157"/>
      <c r="B278" s="157"/>
      <c r="C278" s="144">
        <v>4120</v>
      </c>
      <c r="D278" s="185" t="s">
        <v>180</v>
      </c>
      <c r="E278" s="233">
        <f>46701+30500+17915+14858+11148</f>
        <v>121122</v>
      </c>
      <c r="F278" s="233"/>
      <c r="G278" s="233">
        <f>SUM(E278:F278)</f>
        <v>121122</v>
      </c>
      <c r="H278" s="233">
        <f>-5405-933-1428-3631-1200-548-4000</f>
        <v>-17145</v>
      </c>
      <c r="I278" s="233">
        <f>SUM(G278:H278)</f>
        <v>103977</v>
      </c>
      <c r="J278" s="233"/>
      <c r="K278" s="233">
        <f>SUM(I278:J278)</f>
        <v>103977</v>
      </c>
    </row>
    <row r="279" spans="1:11" ht="12.95" customHeight="1" x14ac:dyDescent="0.2">
      <c r="A279" s="157"/>
      <c r="B279" s="157"/>
      <c r="C279" s="144">
        <v>4170</v>
      </c>
      <c r="D279" s="185" t="s">
        <v>153</v>
      </c>
      <c r="E279" s="233">
        <f>1000+22250+17280+28000</f>
        <v>68530</v>
      </c>
      <c r="F279" s="233"/>
      <c r="G279" s="233">
        <f>SUM(E279:F279)</f>
        <v>68530</v>
      </c>
      <c r="H279" s="233"/>
      <c r="I279" s="233">
        <f>SUM(G279:H279)</f>
        <v>68530</v>
      </c>
      <c r="J279" s="233"/>
      <c r="K279" s="233">
        <f>SUM(I279:J279)</f>
        <v>68530</v>
      </c>
    </row>
    <row r="280" spans="1:11" ht="12.95" customHeight="1" x14ac:dyDescent="0.2">
      <c r="A280" s="168"/>
      <c r="B280" s="212"/>
      <c r="C280" s="297" t="s">
        <v>167</v>
      </c>
      <c r="D280" s="298"/>
      <c r="E280" s="232">
        <f t="shared" ref="E280:K280" si="102">SUM(E281)</f>
        <v>460653</v>
      </c>
      <c r="F280" s="232">
        <f t="shared" si="102"/>
        <v>0</v>
      </c>
      <c r="G280" s="232">
        <f t="shared" si="102"/>
        <v>460653</v>
      </c>
      <c r="H280" s="232">
        <f t="shared" si="102"/>
        <v>0</v>
      </c>
      <c r="I280" s="232">
        <f t="shared" si="102"/>
        <v>460653</v>
      </c>
      <c r="J280" s="232">
        <f t="shared" si="102"/>
        <v>0</v>
      </c>
      <c r="K280" s="232">
        <f t="shared" si="102"/>
        <v>460653</v>
      </c>
    </row>
    <row r="281" spans="1:11" ht="12.95" customHeight="1" x14ac:dyDescent="0.2">
      <c r="A281" s="157"/>
      <c r="B281" s="157"/>
      <c r="C281" s="144">
        <v>2540</v>
      </c>
      <c r="D281" s="190" t="s">
        <v>217</v>
      </c>
      <c r="E281" s="233">
        <v>460653</v>
      </c>
      <c r="F281" s="233"/>
      <c r="G281" s="233">
        <f>SUM(E281:F281)</f>
        <v>460653</v>
      </c>
      <c r="H281" s="233"/>
      <c r="I281" s="233">
        <f>SUM(G281:H281)</f>
        <v>460653</v>
      </c>
      <c r="J281" s="233"/>
      <c r="K281" s="233">
        <f>SUM(I281:J281)</f>
        <v>460653</v>
      </c>
    </row>
    <row r="282" spans="1:11" ht="12.95" customHeight="1" x14ac:dyDescent="0.2">
      <c r="A282" s="168"/>
      <c r="B282" s="212"/>
      <c r="C282" s="297" t="s">
        <v>150</v>
      </c>
      <c r="D282" s="298"/>
      <c r="E282" s="232">
        <f t="shared" ref="E282:K282" si="103">SUM(E283:E283)</f>
        <v>73400</v>
      </c>
      <c r="F282" s="232">
        <f t="shared" si="103"/>
        <v>0</v>
      </c>
      <c r="G282" s="232">
        <f t="shared" si="103"/>
        <v>73400</v>
      </c>
      <c r="H282" s="232">
        <f t="shared" si="103"/>
        <v>-938</v>
      </c>
      <c r="I282" s="232">
        <f t="shared" si="103"/>
        <v>72462</v>
      </c>
      <c r="J282" s="232">
        <f t="shared" si="103"/>
        <v>0</v>
      </c>
      <c r="K282" s="232">
        <f t="shared" si="103"/>
        <v>72462</v>
      </c>
    </row>
    <row r="283" spans="1:11" ht="12.95" customHeight="1" x14ac:dyDescent="0.2">
      <c r="A283" s="157"/>
      <c r="B283" s="157"/>
      <c r="C283" s="144">
        <v>3020</v>
      </c>
      <c r="D283" s="192" t="s">
        <v>181</v>
      </c>
      <c r="E283" s="233">
        <f>10316+5825+51657+4272+1330</f>
        <v>73400</v>
      </c>
      <c r="F283" s="233"/>
      <c r="G283" s="233">
        <f>SUM(E283:F283)</f>
        <v>73400</v>
      </c>
      <c r="H283" s="233">
        <f>-268-320-350</f>
        <v>-938</v>
      </c>
      <c r="I283" s="233">
        <f>SUM(G283:H283)</f>
        <v>72462</v>
      </c>
      <c r="J283" s="233"/>
      <c r="K283" s="233">
        <f>SUM(I283:J283)</f>
        <v>72462</v>
      </c>
    </row>
    <row r="284" spans="1:11" ht="24" customHeight="1" x14ac:dyDescent="0.2">
      <c r="A284" s="168"/>
      <c r="B284" s="207"/>
      <c r="C284" s="292" t="s">
        <v>294</v>
      </c>
      <c r="D284" s="293"/>
      <c r="E284" s="232">
        <f t="shared" ref="E284:K284" si="104">SUM(E285:E296)</f>
        <v>1178775</v>
      </c>
      <c r="F284" s="232">
        <f t="shared" si="104"/>
        <v>0</v>
      </c>
      <c r="G284" s="232">
        <f t="shared" si="104"/>
        <v>1178775</v>
      </c>
      <c r="H284" s="232">
        <f t="shared" si="104"/>
        <v>-83772</v>
      </c>
      <c r="I284" s="232">
        <f t="shared" si="104"/>
        <v>1095003</v>
      </c>
      <c r="J284" s="232">
        <f t="shared" si="104"/>
        <v>500</v>
      </c>
      <c r="K284" s="232">
        <f t="shared" si="104"/>
        <v>1095503</v>
      </c>
    </row>
    <row r="285" spans="1:11" ht="12.95" customHeight="1" x14ac:dyDescent="0.2">
      <c r="A285" s="157"/>
      <c r="B285" s="157"/>
      <c r="C285" s="145">
        <v>4210</v>
      </c>
      <c r="D285" s="192" t="s">
        <v>154</v>
      </c>
      <c r="E285" s="233">
        <f>47266+36000+2000+17000+4000</f>
        <v>106266</v>
      </c>
      <c r="F285" s="233"/>
      <c r="G285" s="233">
        <f>SUM(E285:F285)</f>
        <v>106266</v>
      </c>
      <c r="H285" s="233">
        <f>1000-4000-816-1485-5412</f>
        <v>-10713</v>
      </c>
      <c r="I285" s="233">
        <f>SUM(G285:H285)</f>
        <v>95553</v>
      </c>
      <c r="J285" s="233">
        <v>500</v>
      </c>
      <c r="K285" s="233">
        <f>SUM(I285:J285)</f>
        <v>96053</v>
      </c>
    </row>
    <row r="286" spans="1:11" ht="12.95" customHeight="1" x14ac:dyDescent="0.2">
      <c r="A286" s="157"/>
      <c r="B286" s="157"/>
      <c r="C286" s="144">
        <v>4240</v>
      </c>
      <c r="D286" s="192" t="s">
        <v>212</v>
      </c>
      <c r="E286" s="233">
        <f>12300+5000+1150+4092</f>
        <v>22542</v>
      </c>
      <c r="F286" s="233"/>
      <c r="G286" s="233">
        <f t="shared" ref="G286:G296" si="105">SUM(E286:F286)</f>
        <v>22542</v>
      </c>
      <c r="H286" s="233">
        <f>-103-1800-2013</f>
        <v>-3916</v>
      </c>
      <c r="I286" s="233">
        <f t="shared" ref="I286:I296" si="106">SUM(G286:H286)</f>
        <v>18626</v>
      </c>
      <c r="J286" s="233"/>
      <c r="K286" s="233">
        <f t="shared" ref="K286:K296" si="107">SUM(I286:J286)</f>
        <v>18626</v>
      </c>
    </row>
    <row r="287" spans="1:11" ht="12.95" customHeight="1" x14ac:dyDescent="0.2">
      <c r="A287" s="157"/>
      <c r="B287" s="157"/>
      <c r="C287" s="144">
        <v>4260</v>
      </c>
      <c r="D287" s="185" t="s">
        <v>155</v>
      </c>
      <c r="E287" s="233">
        <f>200000+114617+106300</f>
        <v>420917</v>
      </c>
      <c r="F287" s="233"/>
      <c r="G287" s="233">
        <f t="shared" si="105"/>
        <v>420917</v>
      </c>
      <c r="H287" s="233">
        <f>-2262-6534-11835-2300-4617-9298</f>
        <v>-36846</v>
      </c>
      <c r="I287" s="233">
        <f t="shared" si="106"/>
        <v>384071</v>
      </c>
      <c r="J287" s="233"/>
      <c r="K287" s="233">
        <f t="shared" si="107"/>
        <v>384071</v>
      </c>
    </row>
    <row r="288" spans="1:11" ht="12.95" customHeight="1" x14ac:dyDescent="0.2">
      <c r="A288" s="157"/>
      <c r="B288" s="157"/>
      <c r="C288" s="144">
        <v>4270</v>
      </c>
      <c r="D288" s="185" t="s">
        <v>156</v>
      </c>
      <c r="E288" s="233">
        <f>17700+3500+5500</f>
        <v>26700</v>
      </c>
      <c r="F288" s="233"/>
      <c r="G288" s="233">
        <f t="shared" si="105"/>
        <v>26700</v>
      </c>
      <c r="H288" s="233">
        <f>-2000-220-3469</f>
        <v>-5689</v>
      </c>
      <c r="I288" s="233">
        <f t="shared" si="106"/>
        <v>21011</v>
      </c>
      <c r="J288" s="233"/>
      <c r="K288" s="233">
        <f t="shared" si="107"/>
        <v>21011</v>
      </c>
    </row>
    <row r="289" spans="1:11" ht="12.95" customHeight="1" x14ac:dyDescent="0.2">
      <c r="A289" s="157"/>
      <c r="B289" s="157"/>
      <c r="C289" s="144">
        <v>4280</v>
      </c>
      <c r="D289" s="185" t="s">
        <v>182</v>
      </c>
      <c r="E289" s="233">
        <f>1500+850+9000+205</f>
        <v>11555</v>
      </c>
      <c r="F289" s="233"/>
      <c r="G289" s="233">
        <f t="shared" si="105"/>
        <v>11555</v>
      </c>
      <c r="H289" s="233"/>
      <c r="I289" s="233">
        <f t="shared" si="106"/>
        <v>11555</v>
      </c>
      <c r="J289" s="233"/>
      <c r="K289" s="233">
        <f t="shared" si="107"/>
        <v>11555</v>
      </c>
    </row>
    <row r="290" spans="1:11" ht="12.95" customHeight="1" x14ac:dyDescent="0.2">
      <c r="A290" s="157"/>
      <c r="B290" s="157"/>
      <c r="C290" s="144">
        <v>4300</v>
      </c>
      <c r="D290" s="185" t="s">
        <v>145</v>
      </c>
      <c r="E290" s="233">
        <f>36000+18500+30860+37362+21400</f>
        <v>144122</v>
      </c>
      <c r="F290" s="233"/>
      <c r="G290" s="233">
        <f t="shared" si="105"/>
        <v>144122</v>
      </c>
      <c r="H290" s="233">
        <f>-12000-1593-1800-48</f>
        <v>-15441</v>
      </c>
      <c r="I290" s="233">
        <f t="shared" si="106"/>
        <v>128681</v>
      </c>
      <c r="J290" s="233"/>
      <c r="K290" s="233">
        <f t="shared" si="107"/>
        <v>128681</v>
      </c>
    </row>
    <row r="291" spans="1:11" ht="12.95" customHeight="1" x14ac:dyDescent="0.2">
      <c r="A291" s="157"/>
      <c r="B291" s="157"/>
      <c r="C291" s="144">
        <v>4360</v>
      </c>
      <c r="D291" s="185" t="s">
        <v>297</v>
      </c>
      <c r="E291" s="233">
        <f>5400+3800+10000+2055</f>
        <v>21255</v>
      </c>
      <c r="F291" s="233"/>
      <c r="G291" s="233">
        <f t="shared" si="105"/>
        <v>21255</v>
      </c>
      <c r="H291" s="233">
        <f>-2000-502-400-10</f>
        <v>-2912</v>
      </c>
      <c r="I291" s="233">
        <f t="shared" si="106"/>
        <v>18343</v>
      </c>
      <c r="J291" s="233"/>
      <c r="K291" s="233">
        <f t="shared" si="107"/>
        <v>18343</v>
      </c>
    </row>
    <row r="292" spans="1:11" ht="12.95" customHeight="1" x14ac:dyDescent="0.2">
      <c r="A292" s="157"/>
      <c r="B292" s="157"/>
      <c r="C292" s="145">
        <v>4410</v>
      </c>
      <c r="D292" s="191" t="s">
        <v>171</v>
      </c>
      <c r="E292" s="233">
        <f>1000+2000+400+205</f>
        <v>3605</v>
      </c>
      <c r="F292" s="233"/>
      <c r="G292" s="233">
        <f t="shared" si="105"/>
        <v>3605</v>
      </c>
      <c r="H292" s="233"/>
      <c r="I292" s="233">
        <f t="shared" si="106"/>
        <v>3605</v>
      </c>
      <c r="J292" s="233"/>
      <c r="K292" s="233">
        <f t="shared" si="107"/>
        <v>3605</v>
      </c>
    </row>
    <row r="293" spans="1:11" ht="12.95" customHeight="1" x14ac:dyDescent="0.2">
      <c r="A293" s="157"/>
      <c r="B293" s="157"/>
      <c r="C293" s="145">
        <v>4430</v>
      </c>
      <c r="D293" s="191" t="s">
        <v>157</v>
      </c>
      <c r="E293" s="233">
        <f>4000+2000+6500+2556</f>
        <v>15056</v>
      </c>
      <c r="F293" s="233"/>
      <c r="G293" s="233">
        <f t="shared" si="105"/>
        <v>15056</v>
      </c>
      <c r="H293" s="233">
        <f>-1500-314</f>
        <v>-1814</v>
      </c>
      <c r="I293" s="233">
        <f t="shared" si="106"/>
        <v>13242</v>
      </c>
      <c r="J293" s="233"/>
      <c r="K293" s="233">
        <f t="shared" si="107"/>
        <v>13242</v>
      </c>
    </row>
    <row r="294" spans="1:11" ht="12.95" customHeight="1" x14ac:dyDescent="0.2">
      <c r="A294" s="157"/>
      <c r="B294" s="157"/>
      <c r="C294" s="145">
        <v>4440</v>
      </c>
      <c r="D294" s="191" t="s">
        <v>186</v>
      </c>
      <c r="E294" s="233">
        <f>164421+121800+41276+40454+34292</f>
        <v>402243</v>
      </c>
      <c r="F294" s="233"/>
      <c r="G294" s="233">
        <f t="shared" si="105"/>
        <v>402243</v>
      </c>
      <c r="H294" s="233">
        <f>-2541-2650-1250</f>
        <v>-6441</v>
      </c>
      <c r="I294" s="233">
        <f t="shared" si="106"/>
        <v>395802</v>
      </c>
      <c r="J294" s="233"/>
      <c r="K294" s="233">
        <f t="shared" si="107"/>
        <v>395802</v>
      </c>
    </row>
    <row r="295" spans="1:11" ht="12.75" customHeight="1" x14ac:dyDescent="0.2">
      <c r="A295" s="157"/>
      <c r="B295" s="157"/>
      <c r="C295" s="145">
        <v>4480</v>
      </c>
      <c r="D295" s="192" t="s">
        <v>172</v>
      </c>
      <c r="E295" s="233">
        <f>500</f>
        <v>500</v>
      </c>
      <c r="F295" s="233"/>
      <c r="G295" s="233">
        <f t="shared" si="105"/>
        <v>500</v>
      </c>
      <c r="H295" s="233"/>
      <c r="I295" s="233">
        <f t="shared" si="106"/>
        <v>500</v>
      </c>
      <c r="J295" s="233"/>
      <c r="K295" s="233">
        <f t="shared" si="107"/>
        <v>500</v>
      </c>
    </row>
    <row r="296" spans="1:11" ht="12.95" customHeight="1" x14ac:dyDescent="0.2">
      <c r="A296" s="157"/>
      <c r="B296" s="157"/>
      <c r="C296" s="145">
        <v>4700</v>
      </c>
      <c r="D296" s="192" t="s">
        <v>214</v>
      </c>
      <c r="E296" s="233">
        <f>1000+900+1500+614</f>
        <v>4014</v>
      </c>
      <c r="F296" s="233"/>
      <c r="G296" s="233">
        <f t="shared" si="105"/>
        <v>4014</v>
      </c>
      <c r="H296" s="233"/>
      <c r="I296" s="233">
        <f t="shared" si="106"/>
        <v>4014</v>
      </c>
      <c r="J296" s="233"/>
      <c r="K296" s="233">
        <f t="shared" si="107"/>
        <v>4014</v>
      </c>
    </row>
    <row r="297" spans="1:11" ht="12.95" customHeight="1" x14ac:dyDescent="0.2">
      <c r="A297" s="172"/>
      <c r="B297" s="172"/>
      <c r="C297" s="144"/>
      <c r="D297" s="193" t="s">
        <v>301</v>
      </c>
      <c r="E297" s="233"/>
      <c r="F297" s="233"/>
      <c r="G297" s="233"/>
      <c r="H297" s="233"/>
      <c r="I297" s="237">
        <f>SUM(I298)</f>
        <v>0</v>
      </c>
      <c r="J297" s="237">
        <f>SUM(J298)</f>
        <v>38583</v>
      </c>
      <c r="K297" s="237">
        <f>SUM(K298)</f>
        <v>38583</v>
      </c>
    </row>
    <row r="298" spans="1:11" ht="12.95" customHeight="1" x14ac:dyDescent="0.2">
      <c r="A298" s="172"/>
      <c r="B298" s="172"/>
      <c r="C298" s="144">
        <v>6050</v>
      </c>
      <c r="D298" s="185" t="s">
        <v>159</v>
      </c>
      <c r="E298" s="233"/>
      <c r="F298" s="233"/>
      <c r="G298" s="233"/>
      <c r="H298" s="233"/>
      <c r="I298" s="233"/>
      <c r="J298" s="233">
        <v>38583</v>
      </c>
      <c r="K298" s="233">
        <f>SUM(I298:J298)</f>
        <v>38583</v>
      </c>
    </row>
    <row r="299" spans="1:11" ht="12.95" customHeight="1" x14ac:dyDescent="0.2">
      <c r="A299" s="167"/>
      <c r="B299" s="167">
        <v>80130</v>
      </c>
      <c r="C299" s="146"/>
      <c r="D299" s="188" t="s">
        <v>89</v>
      </c>
      <c r="E299" s="234">
        <f t="shared" ref="E299:K299" si="108">SUM(E300+E306+E308+E310+E324)</f>
        <v>12114919</v>
      </c>
      <c r="F299" s="234">
        <f t="shared" si="108"/>
        <v>2067</v>
      </c>
      <c r="G299" s="234">
        <f t="shared" si="108"/>
        <v>12116986</v>
      </c>
      <c r="H299" s="234">
        <f t="shared" si="108"/>
        <v>-450007</v>
      </c>
      <c r="I299" s="234">
        <f t="shared" si="108"/>
        <v>11666979</v>
      </c>
      <c r="J299" s="234">
        <f t="shared" si="108"/>
        <v>0</v>
      </c>
      <c r="K299" s="234">
        <f t="shared" si="108"/>
        <v>11666979</v>
      </c>
    </row>
    <row r="300" spans="1:11" ht="12.95" customHeight="1" x14ac:dyDescent="0.2">
      <c r="A300" s="168"/>
      <c r="B300" s="152"/>
      <c r="C300" s="299" t="s">
        <v>152</v>
      </c>
      <c r="D300" s="300"/>
      <c r="E300" s="232">
        <f t="shared" ref="E300:K300" si="109">SUM(E301:E305)</f>
        <v>8391075</v>
      </c>
      <c r="F300" s="232">
        <f t="shared" si="109"/>
        <v>0</v>
      </c>
      <c r="G300" s="232">
        <f t="shared" si="109"/>
        <v>8391075</v>
      </c>
      <c r="H300" s="232">
        <f t="shared" si="109"/>
        <v>-283733</v>
      </c>
      <c r="I300" s="232">
        <f t="shared" si="109"/>
        <v>8107342</v>
      </c>
      <c r="J300" s="232">
        <f t="shared" si="109"/>
        <v>0</v>
      </c>
      <c r="K300" s="232">
        <f t="shared" si="109"/>
        <v>8107342</v>
      </c>
    </row>
    <row r="301" spans="1:11" ht="12.95" customHeight="1" x14ac:dyDescent="0.2">
      <c r="A301" s="157"/>
      <c r="B301" s="157"/>
      <c r="C301" s="144">
        <v>4010</v>
      </c>
      <c r="D301" s="185" t="s">
        <v>176</v>
      </c>
      <c r="E301" s="233">
        <f>1960175+2263273+1335087+470008+342129</f>
        <v>6370672</v>
      </c>
      <c r="F301" s="233"/>
      <c r="G301" s="233">
        <f>SUM(E301:F301)</f>
        <v>6370672</v>
      </c>
      <c r="H301" s="233">
        <f>-101988-200-57280-65099</f>
        <v>-224567</v>
      </c>
      <c r="I301" s="233">
        <f>SUM(G301:H301)</f>
        <v>6146105</v>
      </c>
      <c r="J301" s="233"/>
      <c r="K301" s="233">
        <f>SUM(I301:J301)</f>
        <v>6146105</v>
      </c>
    </row>
    <row r="302" spans="1:11" ht="12.95" customHeight="1" x14ac:dyDescent="0.2">
      <c r="A302" s="157"/>
      <c r="B302" s="157"/>
      <c r="C302" s="144">
        <v>4040</v>
      </c>
      <c r="D302" s="185" t="s">
        <v>178</v>
      </c>
      <c r="E302" s="233">
        <f>176917+188283+121665+39000+16754</f>
        <v>542619</v>
      </c>
      <c r="F302" s="233"/>
      <c r="G302" s="233">
        <f>SUM(E302:F302)</f>
        <v>542619</v>
      </c>
      <c r="H302" s="233">
        <f>-4200-6181</f>
        <v>-10381</v>
      </c>
      <c r="I302" s="233">
        <f>SUM(G302:H302)</f>
        <v>532238</v>
      </c>
      <c r="J302" s="233"/>
      <c r="K302" s="233">
        <f>SUM(I302:J302)</f>
        <v>532238</v>
      </c>
    </row>
    <row r="303" spans="1:11" ht="12.95" customHeight="1" x14ac:dyDescent="0.2">
      <c r="A303" s="157"/>
      <c r="B303" s="157"/>
      <c r="C303" s="144">
        <v>4110</v>
      </c>
      <c r="D303" s="185" t="s">
        <v>179</v>
      </c>
      <c r="E303" s="233">
        <f>367366+421422+311879+85968+61333</f>
        <v>1247968</v>
      </c>
      <c r="F303" s="233"/>
      <c r="G303" s="233">
        <f>SUM(E303:F303)</f>
        <v>1247968</v>
      </c>
      <c r="H303" s="233">
        <f>-20000-9863-11191</f>
        <v>-41054</v>
      </c>
      <c r="I303" s="233">
        <f>SUM(G303:H303)</f>
        <v>1206914</v>
      </c>
      <c r="J303" s="233"/>
      <c r="K303" s="233">
        <f>SUM(I303:J303)</f>
        <v>1206914</v>
      </c>
    </row>
    <row r="304" spans="1:11" ht="12.95" customHeight="1" x14ac:dyDescent="0.2">
      <c r="A304" s="157"/>
      <c r="B304" s="157"/>
      <c r="C304" s="144">
        <v>4120</v>
      </c>
      <c r="D304" s="185" t="s">
        <v>180</v>
      </c>
      <c r="E304" s="233">
        <f>52359+60063+44684+12317+8793</f>
        <v>178216</v>
      </c>
      <c r="F304" s="233"/>
      <c r="G304" s="233">
        <f>SUM(E304:F304)</f>
        <v>178216</v>
      </c>
      <c r="H304" s="233">
        <f>-2000-3000-1336-1595</f>
        <v>-7931</v>
      </c>
      <c r="I304" s="233">
        <f>SUM(G304:H304)</f>
        <v>170285</v>
      </c>
      <c r="J304" s="233"/>
      <c r="K304" s="233">
        <f>SUM(I304:J304)</f>
        <v>170285</v>
      </c>
    </row>
    <row r="305" spans="1:11" ht="12.95" customHeight="1" x14ac:dyDescent="0.2">
      <c r="A305" s="157"/>
      <c r="B305" s="157"/>
      <c r="C305" s="144">
        <v>4170</v>
      </c>
      <c r="D305" s="192" t="s">
        <v>153</v>
      </c>
      <c r="E305" s="233">
        <f>26600+25000</f>
        <v>51600</v>
      </c>
      <c r="F305" s="233"/>
      <c r="G305" s="233">
        <f>SUM(E305:F305)</f>
        <v>51600</v>
      </c>
      <c r="H305" s="233">
        <f>200</f>
        <v>200</v>
      </c>
      <c r="I305" s="233">
        <f>SUM(G305:H305)</f>
        <v>51800</v>
      </c>
      <c r="J305" s="233"/>
      <c r="K305" s="233">
        <f>SUM(I305:J305)</f>
        <v>51800</v>
      </c>
    </row>
    <row r="306" spans="1:11" ht="12.95" customHeight="1" x14ac:dyDescent="0.2">
      <c r="A306" s="168"/>
      <c r="B306" s="212"/>
      <c r="C306" s="297" t="s">
        <v>167</v>
      </c>
      <c r="D306" s="298"/>
      <c r="E306" s="232">
        <f t="shared" ref="E306:K306" si="110">SUM(E307)</f>
        <v>1260429</v>
      </c>
      <c r="F306" s="232">
        <f t="shared" si="110"/>
        <v>0</v>
      </c>
      <c r="G306" s="232">
        <f t="shared" si="110"/>
        <v>1260429</v>
      </c>
      <c r="H306" s="232">
        <f t="shared" si="110"/>
        <v>0</v>
      </c>
      <c r="I306" s="232">
        <f t="shared" si="110"/>
        <v>1260429</v>
      </c>
      <c r="J306" s="232">
        <f t="shared" si="110"/>
        <v>0</v>
      </c>
      <c r="K306" s="232">
        <f t="shared" si="110"/>
        <v>1260429</v>
      </c>
    </row>
    <row r="307" spans="1:11" ht="12.95" customHeight="1" x14ac:dyDescent="0.2">
      <c r="A307" s="157"/>
      <c r="B307" s="157"/>
      <c r="C307" s="144">
        <v>2540</v>
      </c>
      <c r="D307" s="190" t="s">
        <v>217</v>
      </c>
      <c r="E307" s="233">
        <v>1260429</v>
      </c>
      <c r="F307" s="233"/>
      <c r="G307" s="233">
        <f>SUM(E307:F307)</f>
        <v>1260429</v>
      </c>
      <c r="H307" s="233"/>
      <c r="I307" s="233">
        <f>SUM(G307:H307)</f>
        <v>1260429</v>
      </c>
      <c r="J307" s="233"/>
      <c r="K307" s="233">
        <f>SUM(I307:J307)</f>
        <v>1260429</v>
      </c>
    </row>
    <row r="308" spans="1:11" ht="12.95" customHeight="1" x14ac:dyDescent="0.2">
      <c r="A308" s="168"/>
      <c r="B308" s="212"/>
      <c r="C308" s="297" t="s">
        <v>150</v>
      </c>
      <c r="D308" s="298"/>
      <c r="E308" s="232">
        <f t="shared" ref="E308:K308" si="111">SUM(E309:E309)</f>
        <v>117983</v>
      </c>
      <c r="F308" s="232">
        <f t="shared" si="111"/>
        <v>0</v>
      </c>
      <c r="G308" s="232">
        <f t="shared" si="111"/>
        <v>117983</v>
      </c>
      <c r="H308" s="232">
        <f t="shared" si="111"/>
        <v>-692</v>
      </c>
      <c r="I308" s="232">
        <f t="shared" si="111"/>
        <v>117291</v>
      </c>
      <c r="J308" s="232">
        <f t="shared" si="111"/>
        <v>0</v>
      </c>
      <c r="K308" s="232">
        <f t="shared" si="111"/>
        <v>117291</v>
      </c>
    </row>
    <row r="309" spans="1:11" ht="12.95" customHeight="1" x14ac:dyDescent="0.2">
      <c r="A309" s="157"/>
      <c r="B309" s="157"/>
      <c r="C309" s="157">
        <v>3020</v>
      </c>
      <c r="D309" s="192" t="s">
        <v>181</v>
      </c>
      <c r="E309" s="233">
        <f>9218+8205+95853+3874+833</f>
        <v>117983</v>
      </c>
      <c r="F309" s="233"/>
      <c r="G309" s="233">
        <f>SUM(E309:F309)</f>
        <v>117983</v>
      </c>
      <c r="H309" s="233">
        <f>-192-500</f>
        <v>-692</v>
      </c>
      <c r="I309" s="233">
        <f>SUM(G309:H309)</f>
        <v>117291</v>
      </c>
      <c r="J309" s="233"/>
      <c r="K309" s="233">
        <f>SUM(I309:J309)</f>
        <v>117291</v>
      </c>
    </row>
    <row r="310" spans="1:11" ht="24.75" customHeight="1" x14ac:dyDescent="0.2">
      <c r="A310" s="168"/>
      <c r="B310" s="207"/>
      <c r="C310" s="295" t="s">
        <v>294</v>
      </c>
      <c r="D310" s="296"/>
      <c r="E310" s="232">
        <f t="shared" ref="E310:K310" si="112">SUM(E311:E323)</f>
        <v>2095909</v>
      </c>
      <c r="F310" s="232">
        <f t="shared" si="112"/>
        <v>0</v>
      </c>
      <c r="G310" s="232">
        <f t="shared" si="112"/>
        <v>2095909</v>
      </c>
      <c r="H310" s="232">
        <f t="shared" si="112"/>
        <v>-165582</v>
      </c>
      <c r="I310" s="232">
        <f t="shared" si="112"/>
        <v>1930327</v>
      </c>
      <c r="J310" s="232">
        <f t="shared" si="112"/>
        <v>0</v>
      </c>
      <c r="K310" s="232">
        <f t="shared" si="112"/>
        <v>1930327</v>
      </c>
    </row>
    <row r="311" spans="1:11" ht="12.95" customHeight="1" x14ac:dyDescent="0.2">
      <c r="A311" s="157"/>
      <c r="B311" s="157"/>
      <c r="C311" s="144">
        <v>4210</v>
      </c>
      <c r="D311" s="192" t="s">
        <v>154</v>
      </c>
      <c r="E311" s="233">
        <f>40012+21792+257126+45000+3000</f>
        <v>366930</v>
      </c>
      <c r="F311" s="233"/>
      <c r="G311" s="233">
        <f>SUM(E311:F311)</f>
        <v>366930</v>
      </c>
      <c r="H311" s="233">
        <f>1000+1000-510-13000-24778</f>
        <v>-36288</v>
      </c>
      <c r="I311" s="233">
        <f>SUM(G311:H311)</f>
        <v>330642</v>
      </c>
      <c r="J311" s="233"/>
      <c r="K311" s="233">
        <f>SUM(I311:J311)</f>
        <v>330642</v>
      </c>
    </row>
    <row r="312" spans="1:11" ht="12.95" customHeight="1" x14ac:dyDescent="0.2">
      <c r="A312" s="157"/>
      <c r="B312" s="157"/>
      <c r="C312" s="144">
        <v>4240</v>
      </c>
      <c r="D312" s="192" t="s">
        <v>212</v>
      </c>
      <c r="E312" s="233">
        <f>2990+109629+37911+22000+7000</f>
        <v>179530</v>
      </c>
      <c r="F312" s="233"/>
      <c r="G312" s="233">
        <f t="shared" ref="G312:G323" si="113">SUM(E312:F312)</f>
        <v>179530</v>
      </c>
      <c r="H312" s="233">
        <f>500-27000-1934-2608</f>
        <v>-31042</v>
      </c>
      <c r="I312" s="233">
        <f t="shared" ref="I312:I323" si="114">SUM(G312:H312)</f>
        <v>148488</v>
      </c>
      <c r="J312" s="233"/>
      <c r="K312" s="233">
        <f t="shared" ref="K312:K323" si="115">SUM(I312:J312)</f>
        <v>148488</v>
      </c>
    </row>
    <row r="313" spans="1:11" ht="12.95" customHeight="1" x14ac:dyDescent="0.2">
      <c r="A313" s="157"/>
      <c r="B313" s="157"/>
      <c r="C313" s="144">
        <v>4260</v>
      </c>
      <c r="D313" s="185" t="s">
        <v>155</v>
      </c>
      <c r="E313" s="233">
        <f>274883+251658+56283+300</f>
        <v>583124</v>
      </c>
      <c r="F313" s="233"/>
      <c r="G313" s="233">
        <f t="shared" si="113"/>
        <v>583124</v>
      </c>
      <c r="H313" s="233">
        <f>-29000-5210</f>
        <v>-34210</v>
      </c>
      <c r="I313" s="233">
        <f t="shared" si="114"/>
        <v>548914</v>
      </c>
      <c r="J313" s="233"/>
      <c r="K313" s="233">
        <f t="shared" si="115"/>
        <v>548914</v>
      </c>
    </row>
    <row r="314" spans="1:11" ht="12.95" customHeight="1" x14ac:dyDescent="0.2">
      <c r="A314" s="157"/>
      <c r="B314" s="157"/>
      <c r="C314" s="144">
        <v>4270</v>
      </c>
      <c r="D314" s="185" t="s">
        <v>156</v>
      </c>
      <c r="E314" s="233">
        <f>1386+9332+23000+17570</f>
        <v>51288</v>
      </c>
      <c r="F314" s="233"/>
      <c r="G314" s="233">
        <f t="shared" si="113"/>
        <v>51288</v>
      </c>
      <c r="H314" s="233">
        <f>-6000-78</f>
        <v>-6078</v>
      </c>
      <c r="I314" s="233">
        <f t="shared" si="114"/>
        <v>45210</v>
      </c>
      <c r="J314" s="233"/>
      <c r="K314" s="233">
        <f t="shared" si="115"/>
        <v>45210</v>
      </c>
    </row>
    <row r="315" spans="1:11" ht="12.95" customHeight="1" x14ac:dyDescent="0.2">
      <c r="A315" s="157"/>
      <c r="B315" s="157"/>
      <c r="C315" s="144">
        <v>4280</v>
      </c>
      <c r="D315" s="191" t="s">
        <v>182</v>
      </c>
      <c r="E315" s="233">
        <f>1915+364+3228</f>
        <v>5507</v>
      </c>
      <c r="F315" s="233"/>
      <c r="G315" s="233">
        <f t="shared" si="113"/>
        <v>5507</v>
      </c>
      <c r="H315" s="233">
        <f>-9</f>
        <v>-9</v>
      </c>
      <c r="I315" s="233">
        <f t="shared" si="114"/>
        <v>5498</v>
      </c>
      <c r="J315" s="233"/>
      <c r="K315" s="233">
        <f t="shared" si="115"/>
        <v>5498</v>
      </c>
    </row>
    <row r="316" spans="1:11" ht="12.95" customHeight="1" x14ac:dyDescent="0.2">
      <c r="A316" s="157"/>
      <c r="B316" s="157"/>
      <c r="C316" s="144">
        <v>4300</v>
      </c>
      <c r="D316" s="185" t="s">
        <v>145</v>
      </c>
      <c r="E316" s="233">
        <f>99957+13479+146699+20000+4836</f>
        <v>284971</v>
      </c>
      <c r="F316" s="233"/>
      <c r="G316" s="233">
        <f t="shared" si="113"/>
        <v>284971</v>
      </c>
      <c r="H316" s="233">
        <f>-2600-255-2000-30000</f>
        <v>-34855</v>
      </c>
      <c r="I316" s="233">
        <f t="shared" si="114"/>
        <v>250116</v>
      </c>
      <c r="J316" s="233"/>
      <c r="K316" s="233">
        <f t="shared" si="115"/>
        <v>250116</v>
      </c>
    </row>
    <row r="317" spans="1:11" ht="12.95" customHeight="1" x14ac:dyDescent="0.2">
      <c r="A317" s="157"/>
      <c r="B317" s="157"/>
      <c r="C317" s="144">
        <v>4360</v>
      </c>
      <c r="D317" s="185" t="s">
        <v>184</v>
      </c>
      <c r="E317" s="233">
        <f>8606+4689+8800</f>
        <v>22095</v>
      </c>
      <c r="F317" s="233"/>
      <c r="G317" s="233">
        <f t="shared" si="113"/>
        <v>22095</v>
      </c>
      <c r="H317" s="233">
        <f>-110</f>
        <v>-110</v>
      </c>
      <c r="I317" s="233">
        <f t="shared" si="114"/>
        <v>21985</v>
      </c>
      <c r="J317" s="233"/>
      <c r="K317" s="233">
        <f t="shared" si="115"/>
        <v>21985</v>
      </c>
    </row>
    <row r="318" spans="1:11" ht="12.95" customHeight="1" x14ac:dyDescent="0.2">
      <c r="A318" s="157"/>
      <c r="B318" s="157"/>
      <c r="C318" s="145">
        <v>4410</v>
      </c>
      <c r="D318" s="191" t="s">
        <v>171</v>
      </c>
      <c r="E318" s="233">
        <f>1023+256+502</f>
        <v>1781</v>
      </c>
      <c r="F318" s="233"/>
      <c r="G318" s="233">
        <f t="shared" si="113"/>
        <v>1781</v>
      </c>
      <c r="H318" s="233">
        <f>-6</f>
        <v>-6</v>
      </c>
      <c r="I318" s="233">
        <f t="shared" si="114"/>
        <v>1775</v>
      </c>
      <c r="J318" s="233"/>
      <c r="K318" s="233">
        <f t="shared" si="115"/>
        <v>1775</v>
      </c>
    </row>
    <row r="319" spans="1:11" ht="12.95" customHeight="1" x14ac:dyDescent="0.2">
      <c r="A319" s="157"/>
      <c r="B319" s="157"/>
      <c r="C319" s="145">
        <v>4430</v>
      </c>
      <c r="D319" s="191" t="s">
        <v>157</v>
      </c>
      <c r="E319" s="233">
        <f>4425+3530+20559</f>
        <v>28514</v>
      </c>
      <c r="F319" s="233"/>
      <c r="G319" s="233">
        <f t="shared" si="113"/>
        <v>28514</v>
      </c>
      <c r="H319" s="233">
        <f>-83-5000</f>
        <v>-5083</v>
      </c>
      <c r="I319" s="233">
        <f t="shared" si="114"/>
        <v>23431</v>
      </c>
      <c r="J319" s="233"/>
      <c r="K319" s="233">
        <f t="shared" si="115"/>
        <v>23431</v>
      </c>
    </row>
    <row r="320" spans="1:11" ht="12.95" customHeight="1" x14ac:dyDescent="0.2">
      <c r="A320" s="157"/>
      <c r="B320" s="157"/>
      <c r="C320" s="145">
        <v>4440</v>
      </c>
      <c r="D320" s="191" t="s">
        <v>186</v>
      </c>
      <c r="E320" s="233">
        <f>222019+188326+116445+34651</f>
        <v>561441</v>
      </c>
      <c r="F320" s="233"/>
      <c r="G320" s="233">
        <f t="shared" si="113"/>
        <v>561441</v>
      </c>
      <c r="H320" s="233">
        <f>-13757-4084</f>
        <v>-17841</v>
      </c>
      <c r="I320" s="233">
        <f t="shared" si="114"/>
        <v>543600</v>
      </c>
      <c r="J320" s="233"/>
      <c r="K320" s="233">
        <f t="shared" si="115"/>
        <v>543600</v>
      </c>
    </row>
    <row r="321" spans="1:11" ht="12.95" customHeight="1" x14ac:dyDescent="0.2">
      <c r="A321" s="157"/>
      <c r="B321" s="157"/>
      <c r="C321" s="145">
        <v>4480</v>
      </c>
      <c r="D321" s="191" t="s">
        <v>172</v>
      </c>
      <c r="E321" s="233">
        <f>3864+2061+575</f>
        <v>6500</v>
      </c>
      <c r="F321" s="233"/>
      <c r="G321" s="233">
        <f t="shared" si="113"/>
        <v>6500</v>
      </c>
      <c r="H321" s="233">
        <f>-48</f>
        <v>-48</v>
      </c>
      <c r="I321" s="233">
        <f t="shared" si="114"/>
        <v>6452</v>
      </c>
      <c r="J321" s="233"/>
      <c r="K321" s="233">
        <f t="shared" si="115"/>
        <v>6452</v>
      </c>
    </row>
    <row r="322" spans="1:11" ht="12.95" customHeight="1" x14ac:dyDescent="0.2">
      <c r="A322" s="157"/>
      <c r="B322" s="157"/>
      <c r="C322" s="145">
        <v>4520</v>
      </c>
      <c r="D322" s="191" t="s">
        <v>218</v>
      </c>
      <c r="E322" s="233">
        <f>1397</f>
        <v>1397</v>
      </c>
      <c r="F322" s="233"/>
      <c r="G322" s="233">
        <f t="shared" si="113"/>
        <v>1397</v>
      </c>
      <c r="H322" s="233"/>
      <c r="I322" s="233">
        <f t="shared" si="114"/>
        <v>1397</v>
      </c>
      <c r="J322" s="233"/>
      <c r="K322" s="233">
        <f t="shared" si="115"/>
        <v>1397</v>
      </c>
    </row>
    <row r="323" spans="1:11" ht="12.95" customHeight="1" x14ac:dyDescent="0.2">
      <c r="A323" s="157"/>
      <c r="B323" s="157"/>
      <c r="C323" s="145">
        <v>4700</v>
      </c>
      <c r="D323" s="185" t="s">
        <v>173</v>
      </c>
      <c r="E323" s="233">
        <f>1765+524+542</f>
        <v>2831</v>
      </c>
      <c r="F323" s="233"/>
      <c r="G323" s="233">
        <f t="shared" si="113"/>
        <v>2831</v>
      </c>
      <c r="H323" s="233">
        <f>-12</f>
        <v>-12</v>
      </c>
      <c r="I323" s="233">
        <f t="shared" si="114"/>
        <v>2819</v>
      </c>
      <c r="J323" s="233"/>
      <c r="K323" s="233">
        <f t="shared" si="115"/>
        <v>2819</v>
      </c>
    </row>
    <row r="324" spans="1:11" ht="33.75" customHeight="1" x14ac:dyDescent="0.2">
      <c r="A324" s="168"/>
      <c r="B324" s="152"/>
      <c r="C324" s="315" t="s">
        <v>162</v>
      </c>
      <c r="D324" s="316"/>
      <c r="E324" s="232">
        <f t="shared" ref="E324:K324" si="116">SUM(E325:E342)</f>
        <v>249523</v>
      </c>
      <c r="F324" s="232">
        <f t="shared" si="116"/>
        <v>2067</v>
      </c>
      <c r="G324" s="232">
        <f t="shared" si="116"/>
        <v>251590</v>
      </c>
      <c r="H324" s="232">
        <f t="shared" si="116"/>
        <v>0</v>
      </c>
      <c r="I324" s="232">
        <f t="shared" si="116"/>
        <v>251590</v>
      </c>
      <c r="J324" s="232">
        <f t="shared" si="116"/>
        <v>0</v>
      </c>
      <c r="K324" s="232">
        <f t="shared" si="116"/>
        <v>251590</v>
      </c>
    </row>
    <row r="325" spans="1:11" x14ac:dyDescent="0.2">
      <c r="A325" s="157"/>
      <c r="B325" s="157"/>
      <c r="C325" s="145">
        <v>3021</v>
      </c>
      <c r="D325" s="196" t="s">
        <v>238</v>
      </c>
      <c r="E325" s="241">
        <f>5000</f>
        <v>5000</v>
      </c>
      <c r="F325" s="241"/>
      <c r="G325" s="241">
        <f>SUM(E325:F325)</f>
        <v>5000</v>
      </c>
      <c r="H325" s="241"/>
      <c r="I325" s="241">
        <f>SUM(G325:H325)</f>
        <v>5000</v>
      </c>
      <c r="J325" s="241"/>
      <c r="K325" s="241">
        <f>SUM(I325:J325)</f>
        <v>5000</v>
      </c>
    </row>
    <row r="326" spans="1:11" x14ac:dyDescent="0.2">
      <c r="A326" s="157"/>
      <c r="B326" s="157"/>
      <c r="C326" s="145">
        <v>3261</v>
      </c>
      <c r="D326" s="196" t="s">
        <v>221</v>
      </c>
      <c r="E326" s="241">
        <f>20006</f>
        <v>20006</v>
      </c>
      <c r="F326" s="241"/>
      <c r="G326" s="241">
        <f t="shared" ref="G326:G342" si="117">SUM(E326:F326)</f>
        <v>20006</v>
      </c>
      <c r="H326" s="241"/>
      <c r="I326" s="241">
        <f t="shared" ref="I326:I342" si="118">SUM(G326:H326)</f>
        <v>20006</v>
      </c>
      <c r="J326" s="241"/>
      <c r="K326" s="241">
        <f t="shared" ref="K326:K342" si="119">SUM(I326:J326)</f>
        <v>20006</v>
      </c>
    </row>
    <row r="327" spans="1:11" x14ac:dyDescent="0.2">
      <c r="A327" s="157"/>
      <c r="B327" s="157"/>
      <c r="C327" s="145">
        <v>4019</v>
      </c>
      <c r="D327" s="196" t="s">
        <v>176</v>
      </c>
      <c r="E327" s="241">
        <f>15317</f>
        <v>15317</v>
      </c>
      <c r="F327" s="241"/>
      <c r="G327" s="241">
        <f t="shared" si="117"/>
        <v>15317</v>
      </c>
      <c r="H327" s="241"/>
      <c r="I327" s="241">
        <f t="shared" si="118"/>
        <v>15317</v>
      </c>
      <c r="J327" s="241"/>
      <c r="K327" s="241">
        <f t="shared" si="119"/>
        <v>15317</v>
      </c>
    </row>
    <row r="328" spans="1:11" ht="12.95" customHeight="1" x14ac:dyDescent="0.2">
      <c r="A328" s="157"/>
      <c r="B328" s="157"/>
      <c r="C328" s="145">
        <v>4111</v>
      </c>
      <c r="D328" s="196" t="s">
        <v>179</v>
      </c>
      <c r="E328" s="241">
        <f>2682</f>
        <v>2682</v>
      </c>
      <c r="F328" s="241"/>
      <c r="G328" s="241">
        <f t="shared" si="117"/>
        <v>2682</v>
      </c>
      <c r="H328" s="241"/>
      <c r="I328" s="241">
        <f t="shared" si="118"/>
        <v>2682</v>
      </c>
      <c r="J328" s="241"/>
      <c r="K328" s="241">
        <f t="shared" si="119"/>
        <v>2682</v>
      </c>
    </row>
    <row r="329" spans="1:11" ht="12.95" customHeight="1" x14ac:dyDescent="0.2">
      <c r="A329" s="157"/>
      <c r="B329" s="157"/>
      <c r="C329" s="145">
        <v>4117</v>
      </c>
      <c r="D329" s="185" t="s">
        <v>179</v>
      </c>
      <c r="E329" s="241">
        <f>4949</f>
        <v>4949</v>
      </c>
      <c r="F329" s="241"/>
      <c r="G329" s="241">
        <f t="shared" si="117"/>
        <v>4949</v>
      </c>
      <c r="H329" s="241"/>
      <c r="I329" s="241">
        <f t="shared" si="118"/>
        <v>4949</v>
      </c>
      <c r="J329" s="241"/>
      <c r="K329" s="241">
        <f t="shared" si="119"/>
        <v>4949</v>
      </c>
    </row>
    <row r="330" spans="1:11" ht="12.95" customHeight="1" x14ac:dyDescent="0.2">
      <c r="A330" s="157"/>
      <c r="B330" s="157"/>
      <c r="C330" s="145">
        <v>4119</v>
      </c>
      <c r="D330" s="185" t="s">
        <v>179</v>
      </c>
      <c r="E330" s="241">
        <f>2138</f>
        <v>2138</v>
      </c>
      <c r="F330" s="241"/>
      <c r="G330" s="241">
        <f t="shared" si="117"/>
        <v>2138</v>
      </c>
      <c r="H330" s="241"/>
      <c r="I330" s="241">
        <f t="shared" si="118"/>
        <v>2138</v>
      </c>
      <c r="J330" s="241"/>
      <c r="K330" s="241">
        <f t="shared" si="119"/>
        <v>2138</v>
      </c>
    </row>
    <row r="331" spans="1:11" ht="12.95" customHeight="1" x14ac:dyDescent="0.2">
      <c r="A331" s="157"/>
      <c r="B331" s="157"/>
      <c r="C331" s="145">
        <v>4121</v>
      </c>
      <c r="D331" s="185" t="s">
        <v>180</v>
      </c>
      <c r="E331" s="241">
        <f>384</f>
        <v>384</v>
      </c>
      <c r="F331" s="241"/>
      <c r="G331" s="241">
        <f t="shared" si="117"/>
        <v>384</v>
      </c>
      <c r="H331" s="241"/>
      <c r="I331" s="241">
        <f t="shared" si="118"/>
        <v>384</v>
      </c>
      <c r="J331" s="241"/>
      <c r="K331" s="241">
        <f t="shared" si="119"/>
        <v>384</v>
      </c>
    </row>
    <row r="332" spans="1:11" ht="12.95" customHeight="1" x14ac:dyDescent="0.2">
      <c r="A332" s="157"/>
      <c r="B332" s="157"/>
      <c r="C332" s="145">
        <v>4127</v>
      </c>
      <c r="D332" s="185" t="s">
        <v>180</v>
      </c>
      <c r="E332" s="241">
        <f>709</f>
        <v>709</v>
      </c>
      <c r="F332" s="241"/>
      <c r="G332" s="241">
        <f t="shared" si="117"/>
        <v>709</v>
      </c>
      <c r="H332" s="241"/>
      <c r="I332" s="241">
        <f t="shared" si="118"/>
        <v>709</v>
      </c>
      <c r="J332" s="241"/>
      <c r="K332" s="241">
        <f t="shared" si="119"/>
        <v>709</v>
      </c>
    </row>
    <row r="333" spans="1:11" ht="12.95" customHeight="1" x14ac:dyDescent="0.2">
      <c r="A333" s="157"/>
      <c r="B333" s="157"/>
      <c r="C333" s="145">
        <v>4129</v>
      </c>
      <c r="D333" s="185" t="s">
        <v>180</v>
      </c>
      <c r="E333" s="241">
        <f>305</f>
        <v>305</v>
      </c>
      <c r="F333" s="241"/>
      <c r="G333" s="241">
        <f t="shared" si="117"/>
        <v>305</v>
      </c>
      <c r="H333" s="241"/>
      <c r="I333" s="241">
        <f t="shared" si="118"/>
        <v>305</v>
      </c>
      <c r="J333" s="241"/>
      <c r="K333" s="241">
        <f t="shared" si="119"/>
        <v>305</v>
      </c>
    </row>
    <row r="334" spans="1:11" ht="12.95" customHeight="1" x14ac:dyDescent="0.2">
      <c r="A334" s="157"/>
      <c r="B334" s="157"/>
      <c r="C334" s="145">
        <v>4171</v>
      </c>
      <c r="D334" s="185" t="s">
        <v>153</v>
      </c>
      <c r="E334" s="241">
        <f>15687</f>
        <v>15687</v>
      </c>
      <c r="F334" s="241"/>
      <c r="G334" s="241">
        <f t="shared" si="117"/>
        <v>15687</v>
      </c>
      <c r="H334" s="241"/>
      <c r="I334" s="241">
        <f t="shared" si="118"/>
        <v>15687</v>
      </c>
      <c r="J334" s="241"/>
      <c r="K334" s="241">
        <f t="shared" si="119"/>
        <v>15687</v>
      </c>
    </row>
    <row r="335" spans="1:11" ht="12.95" customHeight="1" x14ac:dyDescent="0.2">
      <c r="A335" s="157"/>
      <c r="B335" s="157"/>
      <c r="C335" s="145">
        <v>4177</v>
      </c>
      <c r="D335" s="185" t="s">
        <v>153</v>
      </c>
      <c r="E335" s="241">
        <f>28942</f>
        <v>28942</v>
      </c>
      <c r="F335" s="241">
        <v>2067</v>
      </c>
      <c r="G335" s="241">
        <f t="shared" si="117"/>
        <v>31009</v>
      </c>
      <c r="H335" s="241"/>
      <c r="I335" s="241">
        <f t="shared" si="118"/>
        <v>31009</v>
      </c>
      <c r="J335" s="241"/>
      <c r="K335" s="241">
        <f t="shared" si="119"/>
        <v>31009</v>
      </c>
    </row>
    <row r="336" spans="1:11" ht="12.95" customHeight="1" x14ac:dyDescent="0.2">
      <c r="A336" s="157"/>
      <c r="B336" s="157"/>
      <c r="C336" s="145">
        <v>4211</v>
      </c>
      <c r="D336" s="192" t="s">
        <v>154</v>
      </c>
      <c r="E336" s="241">
        <f>2501</f>
        <v>2501</v>
      </c>
      <c r="F336" s="241"/>
      <c r="G336" s="241">
        <f t="shared" si="117"/>
        <v>2501</v>
      </c>
      <c r="H336" s="241"/>
      <c r="I336" s="241">
        <f t="shared" si="118"/>
        <v>2501</v>
      </c>
      <c r="J336" s="241"/>
      <c r="K336" s="241">
        <f t="shared" si="119"/>
        <v>2501</v>
      </c>
    </row>
    <row r="337" spans="1:11" ht="12.95" customHeight="1" x14ac:dyDescent="0.2">
      <c r="A337" s="157"/>
      <c r="B337" s="157"/>
      <c r="C337" s="145">
        <v>4217</v>
      </c>
      <c r="D337" s="192" t="s">
        <v>154</v>
      </c>
      <c r="E337" s="241">
        <f>6600</f>
        <v>6600</v>
      </c>
      <c r="F337" s="241"/>
      <c r="G337" s="241">
        <f t="shared" si="117"/>
        <v>6600</v>
      </c>
      <c r="H337" s="241"/>
      <c r="I337" s="241">
        <f t="shared" si="118"/>
        <v>6600</v>
      </c>
      <c r="J337" s="241"/>
      <c r="K337" s="241">
        <f t="shared" si="119"/>
        <v>6600</v>
      </c>
    </row>
    <row r="338" spans="1:11" ht="12.95" customHeight="1" x14ac:dyDescent="0.2">
      <c r="A338" s="157"/>
      <c r="B338" s="157"/>
      <c r="C338" s="145">
        <v>4367</v>
      </c>
      <c r="D338" s="265" t="s">
        <v>307</v>
      </c>
      <c r="E338" s="241">
        <f>120</f>
        <v>120</v>
      </c>
      <c r="F338" s="241"/>
      <c r="G338" s="241">
        <f t="shared" si="117"/>
        <v>120</v>
      </c>
      <c r="H338" s="241"/>
      <c r="I338" s="241">
        <f t="shared" si="118"/>
        <v>120</v>
      </c>
      <c r="J338" s="241"/>
      <c r="K338" s="241">
        <f t="shared" si="119"/>
        <v>120</v>
      </c>
    </row>
    <row r="339" spans="1:11" ht="12.95" customHeight="1" x14ac:dyDescent="0.2">
      <c r="A339" s="157"/>
      <c r="B339" s="157"/>
      <c r="C339" s="145">
        <v>4301</v>
      </c>
      <c r="D339" s="192" t="s">
        <v>145</v>
      </c>
      <c r="E339" s="241">
        <f>115384</f>
        <v>115384</v>
      </c>
      <c r="F339" s="241"/>
      <c r="G339" s="241">
        <f t="shared" si="117"/>
        <v>115384</v>
      </c>
      <c r="H339" s="241"/>
      <c r="I339" s="241">
        <f t="shared" si="118"/>
        <v>115384</v>
      </c>
      <c r="J339" s="241"/>
      <c r="K339" s="241">
        <f t="shared" si="119"/>
        <v>115384</v>
      </c>
    </row>
    <row r="340" spans="1:11" ht="12.95" customHeight="1" x14ac:dyDescent="0.2">
      <c r="A340" s="157"/>
      <c r="B340" s="157"/>
      <c r="C340" s="145">
        <v>4307</v>
      </c>
      <c r="D340" s="185" t="s">
        <v>145</v>
      </c>
      <c r="E340" s="241">
        <f>17200</f>
        <v>17200</v>
      </c>
      <c r="F340" s="241"/>
      <c r="G340" s="241">
        <f t="shared" si="117"/>
        <v>17200</v>
      </c>
      <c r="H340" s="241"/>
      <c r="I340" s="241">
        <f t="shared" si="118"/>
        <v>17200</v>
      </c>
      <c r="J340" s="241"/>
      <c r="K340" s="241">
        <f t="shared" si="119"/>
        <v>17200</v>
      </c>
    </row>
    <row r="341" spans="1:11" x14ac:dyDescent="0.2">
      <c r="A341" s="157"/>
      <c r="B341" s="157"/>
      <c r="C341" s="145">
        <v>4421</v>
      </c>
      <c r="D341" s="185" t="s">
        <v>219</v>
      </c>
      <c r="E341" s="241">
        <f>10836</f>
        <v>10836</v>
      </c>
      <c r="F341" s="241"/>
      <c r="G341" s="241">
        <f t="shared" si="117"/>
        <v>10836</v>
      </c>
      <c r="H341" s="241"/>
      <c r="I341" s="241">
        <f t="shared" si="118"/>
        <v>10836</v>
      </c>
      <c r="J341" s="241"/>
      <c r="K341" s="241">
        <f t="shared" si="119"/>
        <v>10836</v>
      </c>
    </row>
    <row r="342" spans="1:11" x14ac:dyDescent="0.2">
      <c r="A342" s="157"/>
      <c r="B342" s="157"/>
      <c r="C342" s="145">
        <v>4431</v>
      </c>
      <c r="D342" s="185" t="s">
        <v>157</v>
      </c>
      <c r="E342" s="241">
        <f>763</f>
        <v>763</v>
      </c>
      <c r="F342" s="241"/>
      <c r="G342" s="241">
        <f t="shared" si="117"/>
        <v>763</v>
      </c>
      <c r="H342" s="241"/>
      <c r="I342" s="241">
        <f t="shared" si="118"/>
        <v>763</v>
      </c>
      <c r="J342" s="241"/>
      <c r="K342" s="241">
        <f t="shared" si="119"/>
        <v>763</v>
      </c>
    </row>
    <row r="343" spans="1:11" ht="12.95" customHeight="1" x14ac:dyDescent="0.2">
      <c r="A343" s="167"/>
      <c r="B343" s="167">
        <v>80134</v>
      </c>
      <c r="C343" s="146"/>
      <c r="D343" s="188" t="s">
        <v>220</v>
      </c>
      <c r="E343" s="234">
        <f t="shared" ref="E343:K343" si="120">SUM(E344,E349,E351)</f>
        <v>1407878</v>
      </c>
      <c r="F343" s="234">
        <f t="shared" si="120"/>
        <v>0</v>
      </c>
      <c r="G343" s="234">
        <f t="shared" si="120"/>
        <v>1407878</v>
      </c>
      <c r="H343" s="234">
        <f t="shared" si="120"/>
        <v>-33961</v>
      </c>
      <c r="I343" s="234">
        <f t="shared" si="120"/>
        <v>1373917</v>
      </c>
      <c r="J343" s="234">
        <f t="shared" si="120"/>
        <v>0</v>
      </c>
      <c r="K343" s="234">
        <f t="shared" si="120"/>
        <v>1373917</v>
      </c>
    </row>
    <row r="344" spans="1:11" ht="12.95" customHeight="1" x14ac:dyDescent="0.2">
      <c r="A344" s="168"/>
      <c r="B344" s="152"/>
      <c r="C344" s="299" t="s">
        <v>152</v>
      </c>
      <c r="D344" s="300"/>
      <c r="E344" s="232">
        <f t="shared" ref="E344:K344" si="121">SUM(E345:E348)</f>
        <v>1344183</v>
      </c>
      <c r="F344" s="232">
        <f t="shared" si="121"/>
        <v>0</v>
      </c>
      <c r="G344" s="232">
        <f t="shared" si="121"/>
        <v>1344183</v>
      </c>
      <c r="H344" s="232">
        <f t="shared" si="121"/>
        <v>-33961</v>
      </c>
      <c r="I344" s="232">
        <f t="shared" si="121"/>
        <v>1310222</v>
      </c>
      <c r="J344" s="232">
        <f t="shared" si="121"/>
        <v>0</v>
      </c>
      <c r="K344" s="232">
        <f t="shared" si="121"/>
        <v>1310222</v>
      </c>
    </row>
    <row r="345" spans="1:11" ht="12.95" customHeight="1" x14ac:dyDescent="0.2">
      <c r="A345" s="157"/>
      <c r="B345" s="157"/>
      <c r="C345" s="145">
        <v>4010</v>
      </c>
      <c r="D345" s="185" t="s">
        <v>176</v>
      </c>
      <c r="E345" s="233">
        <v>1051683</v>
      </c>
      <c r="F345" s="233"/>
      <c r="G345" s="233">
        <f>SUM(E345:F345)</f>
        <v>1051683</v>
      </c>
      <c r="H345" s="233">
        <f>-23961</f>
        <v>-23961</v>
      </c>
      <c r="I345" s="233">
        <f>SUM(G345:H345)</f>
        <v>1027722</v>
      </c>
      <c r="J345" s="233"/>
      <c r="K345" s="233">
        <f>SUM(I345:J345)</f>
        <v>1027722</v>
      </c>
    </row>
    <row r="346" spans="1:11" ht="12.95" customHeight="1" x14ac:dyDescent="0.2">
      <c r="A346" s="157"/>
      <c r="B346" s="157"/>
      <c r="C346" s="144">
        <v>4040</v>
      </c>
      <c r="D346" s="185" t="s">
        <v>178</v>
      </c>
      <c r="E346" s="233">
        <v>87500</v>
      </c>
      <c r="F346" s="233"/>
      <c r="G346" s="233">
        <f>SUM(E346:F346)</f>
        <v>87500</v>
      </c>
      <c r="H346" s="233"/>
      <c r="I346" s="233">
        <f>SUM(G346:H346)</f>
        <v>87500</v>
      </c>
      <c r="J346" s="233"/>
      <c r="K346" s="233">
        <f>SUM(I346:J346)</f>
        <v>87500</v>
      </c>
    </row>
    <row r="347" spans="1:11" ht="12.95" customHeight="1" x14ac:dyDescent="0.2">
      <c r="A347" s="157"/>
      <c r="B347" s="157"/>
      <c r="C347" s="145">
        <v>4110</v>
      </c>
      <c r="D347" s="185" t="s">
        <v>179</v>
      </c>
      <c r="E347" s="233">
        <v>180000</v>
      </c>
      <c r="F347" s="233"/>
      <c r="G347" s="233">
        <f>SUM(E347:F347)</f>
        <v>180000</v>
      </c>
      <c r="H347" s="233">
        <f>-7000</f>
        <v>-7000</v>
      </c>
      <c r="I347" s="233">
        <f>SUM(G347:H347)</f>
        <v>173000</v>
      </c>
      <c r="J347" s="233"/>
      <c r="K347" s="233">
        <f>SUM(I347:J347)</f>
        <v>173000</v>
      </c>
    </row>
    <row r="348" spans="1:11" ht="12.95" customHeight="1" x14ac:dyDescent="0.2">
      <c r="A348" s="157"/>
      <c r="B348" s="157"/>
      <c r="C348" s="145">
        <v>4120</v>
      </c>
      <c r="D348" s="185" t="s">
        <v>180</v>
      </c>
      <c r="E348" s="233">
        <v>25000</v>
      </c>
      <c r="F348" s="233"/>
      <c r="G348" s="233">
        <f>SUM(E348:F348)</f>
        <v>25000</v>
      </c>
      <c r="H348" s="233">
        <f>-3000</f>
        <v>-3000</v>
      </c>
      <c r="I348" s="233">
        <f>SUM(G348:H348)</f>
        <v>22000</v>
      </c>
      <c r="J348" s="233"/>
      <c r="K348" s="233">
        <f>SUM(I348:J348)</f>
        <v>22000</v>
      </c>
    </row>
    <row r="349" spans="1:11" ht="12.95" customHeight="1" x14ac:dyDescent="0.2">
      <c r="A349" s="168"/>
      <c r="B349" s="152"/>
      <c r="C349" s="299" t="s">
        <v>150</v>
      </c>
      <c r="D349" s="300"/>
      <c r="E349" s="232">
        <f t="shared" ref="E349:K349" si="122">SUM(E350)</f>
        <v>2840</v>
      </c>
      <c r="F349" s="232">
        <f t="shared" si="122"/>
        <v>0</v>
      </c>
      <c r="G349" s="232">
        <f t="shared" si="122"/>
        <v>2840</v>
      </c>
      <c r="H349" s="232">
        <f t="shared" si="122"/>
        <v>0</v>
      </c>
      <c r="I349" s="232">
        <f t="shared" si="122"/>
        <v>2840</v>
      </c>
      <c r="J349" s="232">
        <f t="shared" si="122"/>
        <v>0</v>
      </c>
      <c r="K349" s="232">
        <f t="shared" si="122"/>
        <v>2840</v>
      </c>
    </row>
    <row r="350" spans="1:11" ht="12.95" customHeight="1" x14ac:dyDescent="0.2">
      <c r="A350" s="157"/>
      <c r="B350" s="157"/>
      <c r="C350" s="145">
        <v>3020</v>
      </c>
      <c r="D350" s="192" t="s">
        <v>181</v>
      </c>
      <c r="E350" s="233">
        <v>2840</v>
      </c>
      <c r="F350" s="233"/>
      <c r="G350" s="233">
        <f>SUM(E350:F350)</f>
        <v>2840</v>
      </c>
      <c r="H350" s="233"/>
      <c r="I350" s="233">
        <f>SUM(G350:H350)</f>
        <v>2840</v>
      </c>
      <c r="J350" s="233"/>
      <c r="K350" s="233">
        <f>SUM(I350:J350)</f>
        <v>2840</v>
      </c>
    </row>
    <row r="351" spans="1:11" ht="22.5" customHeight="1" x14ac:dyDescent="0.2">
      <c r="A351" s="168"/>
      <c r="B351" s="207"/>
      <c r="C351" s="292" t="s">
        <v>294</v>
      </c>
      <c r="D351" s="293"/>
      <c r="E351" s="232">
        <f t="shared" ref="E351:K351" si="123">SUM(E352:E353)</f>
        <v>60855</v>
      </c>
      <c r="F351" s="232">
        <f t="shared" si="123"/>
        <v>0</v>
      </c>
      <c r="G351" s="232">
        <f t="shared" si="123"/>
        <v>60855</v>
      </c>
      <c r="H351" s="232">
        <f t="shared" si="123"/>
        <v>0</v>
      </c>
      <c r="I351" s="232">
        <f t="shared" si="123"/>
        <v>60855</v>
      </c>
      <c r="J351" s="232">
        <f t="shared" si="123"/>
        <v>0</v>
      </c>
      <c r="K351" s="232">
        <f t="shared" si="123"/>
        <v>60855</v>
      </c>
    </row>
    <row r="352" spans="1:11" ht="12.95" customHeight="1" x14ac:dyDescent="0.2">
      <c r="A352" s="157"/>
      <c r="B352" s="157"/>
      <c r="C352" s="145">
        <v>4300</v>
      </c>
      <c r="D352" s="185" t="s">
        <v>145</v>
      </c>
      <c r="E352" s="233">
        <v>4200</v>
      </c>
      <c r="F352" s="233"/>
      <c r="G352" s="233">
        <f>SUM(E352:F352)</f>
        <v>4200</v>
      </c>
      <c r="H352" s="233"/>
      <c r="I352" s="233">
        <f>SUM(G352:H352)</f>
        <v>4200</v>
      </c>
      <c r="J352" s="233"/>
      <c r="K352" s="233">
        <f>SUM(I352:J352)</f>
        <v>4200</v>
      </c>
    </row>
    <row r="353" spans="1:11" ht="12.95" customHeight="1" x14ac:dyDescent="0.2">
      <c r="A353" s="157"/>
      <c r="B353" s="157"/>
      <c r="C353" s="145">
        <v>4440</v>
      </c>
      <c r="D353" s="191" t="s">
        <v>186</v>
      </c>
      <c r="E353" s="233">
        <v>56655</v>
      </c>
      <c r="F353" s="233"/>
      <c r="G353" s="233">
        <f>SUM(E353:F353)</f>
        <v>56655</v>
      </c>
      <c r="H353" s="233"/>
      <c r="I353" s="233">
        <f>SUM(G353:H353)</f>
        <v>56655</v>
      </c>
      <c r="J353" s="233"/>
      <c r="K353" s="233">
        <f>SUM(I353:J353)</f>
        <v>56655</v>
      </c>
    </row>
    <row r="354" spans="1:11" ht="12.95" customHeight="1" x14ac:dyDescent="0.2">
      <c r="A354" s="167"/>
      <c r="B354" s="167">
        <v>80144</v>
      </c>
      <c r="C354" s="146"/>
      <c r="D354" s="188" t="s">
        <v>221</v>
      </c>
      <c r="E354" s="234">
        <f t="shared" ref="E354:K354" si="124">SUM(E355,E361)</f>
        <v>125582</v>
      </c>
      <c r="F354" s="234">
        <f t="shared" si="124"/>
        <v>0</v>
      </c>
      <c r="G354" s="234">
        <f t="shared" si="124"/>
        <v>125582</v>
      </c>
      <c r="H354" s="234">
        <f t="shared" si="124"/>
        <v>0</v>
      </c>
      <c r="I354" s="234">
        <f t="shared" si="124"/>
        <v>125582</v>
      </c>
      <c r="J354" s="234">
        <f t="shared" si="124"/>
        <v>0</v>
      </c>
      <c r="K354" s="234">
        <f t="shared" si="124"/>
        <v>125582</v>
      </c>
    </row>
    <row r="355" spans="1:11" ht="12.95" customHeight="1" x14ac:dyDescent="0.2">
      <c r="A355" s="168"/>
      <c r="B355" s="152"/>
      <c r="C355" s="299" t="s">
        <v>152</v>
      </c>
      <c r="D355" s="300"/>
      <c r="E355" s="232">
        <f t="shared" ref="E355:K355" si="125">SUM(E356:E360)</f>
        <v>72837</v>
      </c>
      <c r="F355" s="232">
        <f t="shared" si="125"/>
        <v>0</v>
      </c>
      <c r="G355" s="232">
        <f t="shared" si="125"/>
        <v>72837</v>
      </c>
      <c r="H355" s="232">
        <f t="shared" si="125"/>
        <v>0</v>
      </c>
      <c r="I355" s="232">
        <f t="shared" si="125"/>
        <v>72837</v>
      </c>
      <c r="J355" s="232">
        <f t="shared" si="125"/>
        <v>0</v>
      </c>
      <c r="K355" s="232">
        <f t="shared" si="125"/>
        <v>72837</v>
      </c>
    </row>
    <row r="356" spans="1:11" ht="12.95" customHeight="1" x14ac:dyDescent="0.2">
      <c r="A356" s="157"/>
      <c r="B356" s="157"/>
      <c r="C356" s="145">
        <v>4010</v>
      </c>
      <c r="D356" s="185" t="s">
        <v>176</v>
      </c>
      <c r="E356" s="233">
        <v>51688</v>
      </c>
      <c r="F356" s="233"/>
      <c r="G356" s="233">
        <f>SUM(E356:F356)</f>
        <v>51688</v>
      </c>
      <c r="H356" s="233"/>
      <c r="I356" s="233">
        <f>SUM(G356:H356)</f>
        <v>51688</v>
      </c>
      <c r="J356" s="233"/>
      <c r="K356" s="233">
        <f>SUM(I356:J356)</f>
        <v>51688</v>
      </c>
    </row>
    <row r="357" spans="1:11" ht="12.95" customHeight="1" x14ac:dyDescent="0.2">
      <c r="A357" s="157"/>
      <c r="B357" s="157"/>
      <c r="C357" s="144">
        <v>4040</v>
      </c>
      <c r="D357" s="185" t="s">
        <v>178</v>
      </c>
      <c r="E357" s="233">
        <v>4238</v>
      </c>
      <c r="F357" s="233"/>
      <c r="G357" s="233">
        <f>SUM(E357:F357)</f>
        <v>4238</v>
      </c>
      <c r="H357" s="233"/>
      <c r="I357" s="233">
        <f>SUM(G357:H357)</f>
        <v>4238</v>
      </c>
      <c r="J357" s="233"/>
      <c r="K357" s="233">
        <f>SUM(I357:J357)</f>
        <v>4238</v>
      </c>
    </row>
    <row r="358" spans="1:11" ht="12.95" customHeight="1" x14ac:dyDescent="0.2">
      <c r="A358" s="157"/>
      <c r="B358" s="157"/>
      <c r="C358" s="145">
        <v>4110</v>
      </c>
      <c r="D358" s="185" t="s">
        <v>179</v>
      </c>
      <c r="E358" s="233">
        <v>10418</v>
      </c>
      <c r="F358" s="233"/>
      <c r="G358" s="233">
        <f>SUM(E358:F358)</f>
        <v>10418</v>
      </c>
      <c r="H358" s="233"/>
      <c r="I358" s="233">
        <f>SUM(G358:H358)</f>
        <v>10418</v>
      </c>
      <c r="J358" s="233"/>
      <c r="K358" s="233">
        <f>SUM(I358:J358)</f>
        <v>10418</v>
      </c>
    </row>
    <row r="359" spans="1:11" ht="12.95" customHeight="1" x14ac:dyDescent="0.2">
      <c r="A359" s="157"/>
      <c r="B359" s="157"/>
      <c r="C359" s="145">
        <v>4120</v>
      </c>
      <c r="D359" s="192" t="s">
        <v>180</v>
      </c>
      <c r="E359" s="233">
        <v>1493</v>
      </c>
      <c r="F359" s="233"/>
      <c r="G359" s="233">
        <f>SUM(E359:F359)</f>
        <v>1493</v>
      </c>
      <c r="H359" s="233"/>
      <c r="I359" s="233">
        <f>SUM(G359:H359)</f>
        <v>1493</v>
      </c>
      <c r="J359" s="233"/>
      <c r="K359" s="233">
        <f>SUM(I359:J359)</f>
        <v>1493</v>
      </c>
    </row>
    <row r="360" spans="1:11" ht="12.95" customHeight="1" x14ac:dyDescent="0.2">
      <c r="A360" s="157"/>
      <c r="B360" s="157"/>
      <c r="C360" s="145">
        <v>4170</v>
      </c>
      <c r="D360" s="192" t="s">
        <v>153</v>
      </c>
      <c r="E360" s="233">
        <v>5000</v>
      </c>
      <c r="F360" s="233"/>
      <c r="G360" s="233">
        <f>SUM(E360:F360)</f>
        <v>5000</v>
      </c>
      <c r="H360" s="233"/>
      <c r="I360" s="233">
        <f>SUM(G360:H360)</f>
        <v>5000</v>
      </c>
      <c r="J360" s="233"/>
      <c r="K360" s="233">
        <f>SUM(I360:J360)</f>
        <v>5000</v>
      </c>
    </row>
    <row r="361" spans="1:11" ht="24.75" customHeight="1" x14ac:dyDescent="0.2">
      <c r="A361" s="168"/>
      <c r="B361" s="207"/>
      <c r="C361" s="292" t="s">
        <v>294</v>
      </c>
      <c r="D361" s="293"/>
      <c r="E361" s="232">
        <f t="shared" ref="E361:K361" si="126">SUM(E362:E367)</f>
        <v>52745</v>
      </c>
      <c r="F361" s="232">
        <f t="shared" si="126"/>
        <v>0</v>
      </c>
      <c r="G361" s="232">
        <f t="shared" si="126"/>
        <v>52745</v>
      </c>
      <c r="H361" s="232">
        <f t="shared" si="126"/>
        <v>0</v>
      </c>
      <c r="I361" s="232">
        <f t="shared" si="126"/>
        <v>52745</v>
      </c>
      <c r="J361" s="232">
        <f t="shared" si="126"/>
        <v>0</v>
      </c>
      <c r="K361" s="232">
        <f t="shared" si="126"/>
        <v>52745</v>
      </c>
    </row>
    <row r="362" spans="1:11" ht="12.95" customHeight="1" x14ac:dyDescent="0.2">
      <c r="A362" s="157"/>
      <c r="B362" s="157"/>
      <c r="C362" s="144">
        <v>4210</v>
      </c>
      <c r="D362" s="192" t="s">
        <v>154</v>
      </c>
      <c r="E362" s="233">
        <v>30000</v>
      </c>
      <c r="F362" s="233"/>
      <c r="G362" s="233">
        <f t="shared" ref="G362:G367" si="127">SUM(E362:F362)</f>
        <v>30000</v>
      </c>
      <c r="H362" s="233"/>
      <c r="I362" s="233">
        <f t="shared" ref="I362:I367" si="128">SUM(G362:H362)</f>
        <v>30000</v>
      </c>
      <c r="J362" s="233"/>
      <c r="K362" s="233">
        <f t="shared" ref="K362:K367" si="129">SUM(I362:J362)</f>
        <v>30000</v>
      </c>
    </row>
    <row r="363" spans="1:11" ht="12.95" customHeight="1" x14ac:dyDescent="0.2">
      <c r="A363" s="157"/>
      <c r="B363" s="157"/>
      <c r="C363" s="144">
        <v>4260</v>
      </c>
      <c r="D363" s="192" t="s">
        <v>155</v>
      </c>
      <c r="E363" s="233">
        <v>12000</v>
      </c>
      <c r="F363" s="233"/>
      <c r="G363" s="233">
        <f t="shared" si="127"/>
        <v>12000</v>
      </c>
      <c r="H363" s="233"/>
      <c r="I363" s="233">
        <f t="shared" si="128"/>
        <v>12000</v>
      </c>
      <c r="J363" s="233"/>
      <c r="K363" s="233">
        <f t="shared" si="129"/>
        <v>12000</v>
      </c>
    </row>
    <row r="364" spans="1:11" ht="12.95" customHeight="1" x14ac:dyDescent="0.2">
      <c r="A364" s="157"/>
      <c r="B364" s="157"/>
      <c r="C364" s="144">
        <v>4300</v>
      </c>
      <c r="D364" s="185" t="s">
        <v>145</v>
      </c>
      <c r="E364" s="233">
        <v>3307</v>
      </c>
      <c r="F364" s="233"/>
      <c r="G364" s="233">
        <f t="shared" si="127"/>
        <v>3307</v>
      </c>
      <c r="H364" s="233"/>
      <c r="I364" s="233">
        <f t="shared" si="128"/>
        <v>3307</v>
      </c>
      <c r="J364" s="233"/>
      <c r="K364" s="233">
        <f t="shared" si="129"/>
        <v>3307</v>
      </c>
    </row>
    <row r="365" spans="1:11" ht="12.95" customHeight="1" x14ac:dyDescent="0.2">
      <c r="A365" s="157"/>
      <c r="B365" s="157"/>
      <c r="C365" s="144">
        <v>4360</v>
      </c>
      <c r="D365" s="185" t="s">
        <v>299</v>
      </c>
      <c r="E365" s="233">
        <v>1000</v>
      </c>
      <c r="F365" s="233"/>
      <c r="G365" s="233">
        <f t="shared" si="127"/>
        <v>1000</v>
      </c>
      <c r="H365" s="233"/>
      <c r="I365" s="233">
        <f t="shared" si="128"/>
        <v>1000</v>
      </c>
      <c r="J365" s="233"/>
      <c r="K365" s="233">
        <f t="shared" si="129"/>
        <v>1000</v>
      </c>
    </row>
    <row r="366" spans="1:11" ht="12.95" customHeight="1" x14ac:dyDescent="0.2">
      <c r="A366" s="157"/>
      <c r="B366" s="157"/>
      <c r="C366" s="145">
        <v>4430</v>
      </c>
      <c r="D366" s="191" t="s">
        <v>157</v>
      </c>
      <c r="E366" s="233">
        <v>4200</v>
      </c>
      <c r="F366" s="233"/>
      <c r="G366" s="233">
        <f t="shared" si="127"/>
        <v>4200</v>
      </c>
      <c r="H366" s="233"/>
      <c r="I366" s="233">
        <f t="shared" si="128"/>
        <v>4200</v>
      </c>
      <c r="J366" s="233"/>
      <c r="K366" s="233">
        <f t="shared" si="129"/>
        <v>4200</v>
      </c>
    </row>
    <row r="367" spans="1:11" ht="12.95" customHeight="1" x14ac:dyDescent="0.2">
      <c r="A367" s="157"/>
      <c r="B367" s="157"/>
      <c r="C367" s="145">
        <v>4440</v>
      </c>
      <c r="D367" s="191" t="s">
        <v>186</v>
      </c>
      <c r="E367" s="233">
        <v>2238</v>
      </c>
      <c r="F367" s="233"/>
      <c r="G367" s="233">
        <f t="shared" si="127"/>
        <v>2238</v>
      </c>
      <c r="H367" s="233"/>
      <c r="I367" s="233">
        <f t="shared" si="128"/>
        <v>2238</v>
      </c>
      <c r="J367" s="233"/>
      <c r="K367" s="233">
        <f t="shared" si="129"/>
        <v>2238</v>
      </c>
    </row>
    <row r="368" spans="1:11" ht="12.95" customHeight="1" x14ac:dyDescent="0.2">
      <c r="A368" s="167"/>
      <c r="B368" s="167">
        <v>80146</v>
      </c>
      <c r="C368" s="146"/>
      <c r="D368" s="188" t="s">
        <v>222</v>
      </c>
      <c r="E368" s="234">
        <f t="shared" ref="E368:K368" si="130">SUM(E369)</f>
        <v>151852</v>
      </c>
      <c r="F368" s="234">
        <f t="shared" si="130"/>
        <v>0</v>
      </c>
      <c r="G368" s="234">
        <f t="shared" si="130"/>
        <v>151852</v>
      </c>
      <c r="H368" s="234">
        <f t="shared" si="130"/>
        <v>0</v>
      </c>
      <c r="I368" s="234">
        <f t="shared" si="130"/>
        <v>151852</v>
      </c>
      <c r="J368" s="234">
        <f t="shared" si="130"/>
        <v>0</v>
      </c>
      <c r="K368" s="234">
        <f t="shared" si="130"/>
        <v>151852</v>
      </c>
    </row>
    <row r="369" spans="1:11" ht="25.5" customHeight="1" x14ac:dyDescent="0.2">
      <c r="A369" s="168"/>
      <c r="B369" s="207"/>
      <c r="C369" s="292" t="s">
        <v>294</v>
      </c>
      <c r="D369" s="293"/>
      <c r="E369" s="232">
        <f>SUM(E373:E373)</f>
        <v>151852</v>
      </c>
      <c r="F369" s="232">
        <f>SUM(F373:F373)</f>
        <v>0</v>
      </c>
      <c r="G369" s="232">
        <f>SUM(G373:G373)</f>
        <v>151852</v>
      </c>
      <c r="H369" s="232">
        <f>SUM(H373:H373)</f>
        <v>0</v>
      </c>
      <c r="I369" s="232">
        <f>SUM(I370:I373)</f>
        <v>151852</v>
      </c>
      <c r="J369" s="232">
        <f>SUM(J370:J373)</f>
        <v>0</v>
      </c>
      <c r="K369" s="232">
        <f>SUM(K370:K373)</f>
        <v>151852</v>
      </c>
    </row>
    <row r="370" spans="1:11" ht="12.75" customHeight="1" x14ac:dyDescent="0.2">
      <c r="A370" s="168"/>
      <c r="B370" s="207"/>
      <c r="C370" s="276">
        <v>4210</v>
      </c>
      <c r="D370" s="277" t="s">
        <v>154</v>
      </c>
      <c r="E370" s="232"/>
      <c r="F370" s="232"/>
      <c r="G370" s="232"/>
      <c r="H370" s="232"/>
      <c r="I370" s="241"/>
      <c r="J370" s="241">
        <f>3000+1200+600+500+700+1345+2500+3375</f>
        <v>13220</v>
      </c>
      <c r="K370" s="241">
        <f>SUM(I370:J370)</f>
        <v>13220</v>
      </c>
    </row>
    <row r="371" spans="1:11" ht="12.75" customHeight="1" x14ac:dyDescent="0.2">
      <c r="A371" s="168"/>
      <c r="B371" s="207"/>
      <c r="C371" s="276">
        <v>4300</v>
      </c>
      <c r="D371" s="277" t="s">
        <v>145</v>
      </c>
      <c r="E371" s="232"/>
      <c r="F371" s="232"/>
      <c r="G371" s="232"/>
      <c r="H371" s="232"/>
      <c r="I371" s="241"/>
      <c r="J371" s="241">
        <f>6500+4510+1520+1520+2632+3760+1400</f>
        <v>21842</v>
      </c>
      <c r="K371" s="241">
        <f>SUM(I371:J371)</f>
        <v>21842</v>
      </c>
    </row>
    <row r="372" spans="1:11" ht="12.75" customHeight="1" x14ac:dyDescent="0.2">
      <c r="A372" s="168"/>
      <c r="B372" s="207"/>
      <c r="C372" s="276">
        <v>4410</v>
      </c>
      <c r="D372" s="277" t="s">
        <v>171</v>
      </c>
      <c r="E372" s="232"/>
      <c r="F372" s="232"/>
      <c r="G372" s="232"/>
      <c r="H372" s="232"/>
      <c r="I372" s="241"/>
      <c r="J372" s="241">
        <f>2975+1785+1155+1215+1610+1015+1680+875</f>
        <v>12310</v>
      </c>
      <c r="K372" s="241">
        <f>SUM(I372:J372)</f>
        <v>12310</v>
      </c>
    </row>
    <row r="373" spans="1:11" ht="12.95" customHeight="1" x14ac:dyDescent="0.2">
      <c r="A373" s="157"/>
      <c r="B373" s="157"/>
      <c r="C373" s="145">
        <v>4700</v>
      </c>
      <c r="D373" s="191" t="s">
        <v>173</v>
      </c>
      <c r="E373" s="233">
        <v>151852</v>
      </c>
      <c r="F373" s="233"/>
      <c r="G373" s="233">
        <f>SUM(E373:F373)</f>
        <v>151852</v>
      </c>
      <c r="H373" s="233"/>
      <c r="I373" s="241">
        <f>SUM(G373:H373)</f>
        <v>151852</v>
      </c>
      <c r="J373" s="241">
        <f>-112755+15800+11933+5800+17540+2325+6585+4000+1400</f>
        <v>-47372</v>
      </c>
      <c r="K373" s="241">
        <f>SUM(I373:J373)</f>
        <v>104480</v>
      </c>
    </row>
    <row r="374" spans="1:11" ht="12.95" customHeight="1" x14ac:dyDescent="0.2">
      <c r="A374" s="167"/>
      <c r="B374" s="167">
        <v>80148</v>
      </c>
      <c r="C374" s="146"/>
      <c r="D374" s="188" t="s">
        <v>98</v>
      </c>
      <c r="E374" s="234">
        <f t="shared" ref="E374:K374" si="131">SUM(E375+E380)</f>
        <v>123033</v>
      </c>
      <c r="F374" s="234">
        <f t="shared" si="131"/>
        <v>0</v>
      </c>
      <c r="G374" s="234">
        <f t="shared" si="131"/>
        <v>123033</v>
      </c>
      <c r="H374" s="234">
        <f t="shared" si="131"/>
        <v>-2967</v>
      </c>
      <c r="I374" s="234">
        <f t="shared" si="131"/>
        <v>120066</v>
      </c>
      <c r="J374" s="234">
        <f t="shared" si="131"/>
        <v>0</v>
      </c>
      <c r="K374" s="234">
        <f t="shared" si="131"/>
        <v>120066</v>
      </c>
    </row>
    <row r="375" spans="1:11" ht="12.95" customHeight="1" x14ac:dyDescent="0.2">
      <c r="A375" s="168"/>
      <c r="B375" s="152"/>
      <c r="C375" s="299" t="s">
        <v>152</v>
      </c>
      <c r="D375" s="300"/>
      <c r="E375" s="232">
        <f t="shared" ref="E375:K375" si="132">SUM(E376:E379)</f>
        <v>50775</v>
      </c>
      <c r="F375" s="232">
        <f t="shared" si="132"/>
        <v>0</v>
      </c>
      <c r="G375" s="232">
        <f t="shared" si="132"/>
        <v>50775</v>
      </c>
      <c r="H375" s="232">
        <f t="shared" si="132"/>
        <v>-1623</v>
      </c>
      <c r="I375" s="232">
        <f t="shared" si="132"/>
        <v>49152</v>
      </c>
      <c r="J375" s="232">
        <f t="shared" si="132"/>
        <v>0</v>
      </c>
      <c r="K375" s="232">
        <f t="shared" si="132"/>
        <v>49152</v>
      </c>
    </row>
    <row r="376" spans="1:11" ht="12.95" customHeight="1" x14ac:dyDescent="0.2">
      <c r="A376" s="157"/>
      <c r="B376" s="157"/>
      <c r="C376" s="145">
        <v>4010</v>
      </c>
      <c r="D376" s="185" t="s">
        <v>176</v>
      </c>
      <c r="E376" s="233">
        <v>39775</v>
      </c>
      <c r="F376" s="233"/>
      <c r="G376" s="233">
        <f>SUM(E376:F376)</f>
        <v>39775</v>
      </c>
      <c r="H376" s="233">
        <f>-1123</f>
        <v>-1123</v>
      </c>
      <c r="I376" s="233">
        <f>SUM(G376:H376)</f>
        <v>38652</v>
      </c>
      <c r="J376" s="233"/>
      <c r="K376" s="233">
        <f>SUM(I376:J376)</f>
        <v>38652</v>
      </c>
    </row>
    <row r="377" spans="1:11" ht="12.95" customHeight="1" x14ac:dyDescent="0.2">
      <c r="A377" s="157"/>
      <c r="B377" s="157"/>
      <c r="C377" s="144">
        <v>4040</v>
      </c>
      <c r="D377" s="185" t="s">
        <v>178</v>
      </c>
      <c r="E377" s="233">
        <v>3200</v>
      </c>
      <c r="F377" s="233"/>
      <c r="G377" s="233">
        <f>SUM(E377:F377)</f>
        <v>3200</v>
      </c>
      <c r="H377" s="233"/>
      <c r="I377" s="233">
        <f>SUM(G377:H377)</f>
        <v>3200</v>
      </c>
      <c r="J377" s="233"/>
      <c r="K377" s="233">
        <f>SUM(I377:J377)</f>
        <v>3200</v>
      </c>
    </row>
    <row r="378" spans="1:11" ht="12.95" customHeight="1" x14ac:dyDescent="0.2">
      <c r="A378" s="157"/>
      <c r="B378" s="157"/>
      <c r="C378" s="145">
        <v>4110</v>
      </c>
      <c r="D378" s="185" t="s">
        <v>179</v>
      </c>
      <c r="E378" s="233">
        <v>7000</v>
      </c>
      <c r="F378" s="233"/>
      <c r="G378" s="233">
        <f>SUM(E378:F378)</f>
        <v>7000</v>
      </c>
      <c r="H378" s="233">
        <f>-500</f>
        <v>-500</v>
      </c>
      <c r="I378" s="233">
        <f>SUM(G378:H378)</f>
        <v>6500</v>
      </c>
      <c r="J378" s="233"/>
      <c r="K378" s="233">
        <f>SUM(I378:J378)</f>
        <v>6500</v>
      </c>
    </row>
    <row r="379" spans="1:11" ht="12.95" customHeight="1" x14ac:dyDescent="0.2">
      <c r="A379" s="157"/>
      <c r="B379" s="157"/>
      <c r="C379" s="145">
        <v>4120</v>
      </c>
      <c r="D379" s="185" t="s">
        <v>180</v>
      </c>
      <c r="E379" s="233">
        <v>800</v>
      </c>
      <c r="F379" s="233"/>
      <c r="G379" s="233">
        <f>SUM(E379:F379)</f>
        <v>800</v>
      </c>
      <c r="H379" s="233"/>
      <c r="I379" s="233">
        <f>SUM(G379:H379)</f>
        <v>800</v>
      </c>
      <c r="J379" s="233"/>
      <c r="K379" s="233">
        <f>SUM(I379:J379)</f>
        <v>800</v>
      </c>
    </row>
    <row r="380" spans="1:11" ht="22.5" customHeight="1" x14ac:dyDescent="0.2">
      <c r="A380" s="168"/>
      <c r="B380" s="207"/>
      <c r="C380" s="295" t="s">
        <v>294</v>
      </c>
      <c r="D380" s="296"/>
      <c r="E380" s="232">
        <f t="shared" ref="E380:K380" si="133">SUM(E381:E386)</f>
        <v>72258</v>
      </c>
      <c r="F380" s="232">
        <f t="shared" si="133"/>
        <v>0</v>
      </c>
      <c r="G380" s="232">
        <f t="shared" si="133"/>
        <v>72258</v>
      </c>
      <c r="H380" s="232">
        <f t="shared" si="133"/>
        <v>-1344</v>
      </c>
      <c r="I380" s="232">
        <f t="shared" si="133"/>
        <v>70914</v>
      </c>
      <c r="J380" s="232">
        <f t="shared" si="133"/>
        <v>0</v>
      </c>
      <c r="K380" s="232">
        <f t="shared" si="133"/>
        <v>70914</v>
      </c>
    </row>
    <row r="381" spans="1:11" ht="12.95" customHeight="1" x14ac:dyDescent="0.2">
      <c r="A381" s="157"/>
      <c r="B381" s="157"/>
      <c r="C381" s="144">
        <v>4210</v>
      </c>
      <c r="D381" s="192" t="s">
        <v>154</v>
      </c>
      <c r="E381" s="233">
        <v>7500</v>
      </c>
      <c r="F381" s="233"/>
      <c r="G381" s="233">
        <f t="shared" ref="G381:G386" si="134">SUM(E381:F381)</f>
        <v>7500</v>
      </c>
      <c r="H381" s="233">
        <f>-1000</f>
        <v>-1000</v>
      </c>
      <c r="I381" s="233">
        <f t="shared" ref="I381:I386" si="135">SUM(G381:H381)</f>
        <v>6500</v>
      </c>
      <c r="J381" s="233"/>
      <c r="K381" s="233">
        <f t="shared" ref="K381:K386" si="136">SUM(I381:J381)</f>
        <v>6500</v>
      </c>
    </row>
    <row r="382" spans="1:11" ht="12.95" customHeight="1" x14ac:dyDescent="0.2">
      <c r="A382" s="157"/>
      <c r="B382" s="157"/>
      <c r="C382" s="144">
        <v>4220</v>
      </c>
      <c r="D382" s="192" t="s">
        <v>200</v>
      </c>
      <c r="E382" s="233">
        <v>46000</v>
      </c>
      <c r="F382" s="233"/>
      <c r="G382" s="233">
        <f t="shared" si="134"/>
        <v>46000</v>
      </c>
      <c r="H382" s="233"/>
      <c r="I382" s="233">
        <f t="shared" si="135"/>
        <v>46000</v>
      </c>
      <c r="J382" s="233"/>
      <c r="K382" s="233">
        <f t="shared" si="136"/>
        <v>46000</v>
      </c>
    </row>
    <row r="383" spans="1:11" ht="12.95" customHeight="1" x14ac:dyDescent="0.2">
      <c r="A383" s="157"/>
      <c r="B383" s="157"/>
      <c r="C383" s="144">
        <v>4260</v>
      </c>
      <c r="D383" s="185" t="s">
        <v>155</v>
      </c>
      <c r="E383" s="233">
        <v>12500</v>
      </c>
      <c r="F383" s="233"/>
      <c r="G383" s="233">
        <f t="shared" si="134"/>
        <v>12500</v>
      </c>
      <c r="H383" s="233"/>
      <c r="I383" s="233">
        <f t="shared" si="135"/>
        <v>12500</v>
      </c>
      <c r="J383" s="233"/>
      <c r="K383" s="233">
        <f t="shared" si="136"/>
        <v>12500</v>
      </c>
    </row>
    <row r="384" spans="1:11" ht="12.95" customHeight="1" x14ac:dyDescent="0.2">
      <c r="A384" s="157"/>
      <c r="B384" s="157"/>
      <c r="C384" s="144">
        <v>4270</v>
      </c>
      <c r="D384" s="185" t="s">
        <v>156</v>
      </c>
      <c r="E384" s="233">
        <v>1000</v>
      </c>
      <c r="F384" s="233"/>
      <c r="G384" s="233">
        <f t="shared" si="134"/>
        <v>1000</v>
      </c>
      <c r="H384" s="233"/>
      <c r="I384" s="233">
        <f t="shared" si="135"/>
        <v>1000</v>
      </c>
      <c r="J384" s="233"/>
      <c r="K384" s="233">
        <f t="shared" si="136"/>
        <v>1000</v>
      </c>
    </row>
    <row r="385" spans="1:11" ht="12.95" customHeight="1" x14ac:dyDescent="0.2">
      <c r="A385" s="157"/>
      <c r="B385" s="157"/>
      <c r="C385" s="144">
        <v>4300</v>
      </c>
      <c r="D385" s="185" t="s">
        <v>145</v>
      </c>
      <c r="E385" s="233">
        <v>3300</v>
      </c>
      <c r="F385" s="233"/>
      <c r="G385" s="233">
        <f t="shared" si="134"/>
        <v>3300</v>
      </c>
      <c r="H385" s="233">
        <f>-300</f>
        <v>-300</v>
      </c>
      <c r="I385" s="233">
        <f t="shared" si="135"/>
        <v>3000</v>
      </c>
      <c r="J385" s="233"/>
      <c r="K385" s="233">
        <f t="shared" si="136"/>
        <v>3000</v>
      </c>
    </row>
    <row r="386" spans="1:11" ht="12.95" customHeight="1" x14ac:dyDescent="0.2">
      <c r="A386" s="157"/>
      <c r="B386" s="157"/>
      <c r="C386" s="145">
        <v>4440</v>
      </c>
      <c r="D386" s="191" t="s">
        <v>186</v>
      </c>
      <c r="E386" s="233">
        <v>1958</v>
      </c>
      <c r="F386" s="233"/>
      <c r="G386" s="233">
        <f t="shared" si="134"/>
        <v>1958</v>
      </c>
      <c r="H386" s="233">
        <f>-44</f>
        <v>-44</v>
      </c>
      <c r="I386" s="233">
        <f t="shared" si="135"/>
        <v>1914</v>
      </c>
      <c r="J386" s="233"/>
      <c r="K386" s="233">
        <f t="shared" si="136"/>
        <v>1914</v>
      </c>
    </row>
    <row r="387" spans="1:11" ht="12.95" customHeight="1" x14ac:dyDescent="0.2">
      <c r="A387" s="167"/>
      <c r="B387" s="167">
        <v>80150</v>
      </c>
      <c r="C387" s="167"/>
      <c r="D387" s="267" t="s">
        <v>313</v>
      </c>
      <c r="E387" s="268"/>
      <c r="F387" s="268"/>
      <c r="G387" s="268">
        <f>SUM(G388+G392+G405)</f>
        <v>0</v>
      </c>
      <c r="H387" s="268">
        <f>SUM(H388+H392+H405)</f>
        <v>373087</v>
      </c>
      <c r="I387" s="268">
        <f>SUM(I388+I392+I405)</f>
        <v>373087</v>
      </c>
      <c r="J387" s="268">
        <f>SUM(J388+J392+J405)</f>
        <v>0</v>
      </c>
      <c r="K387" s="268">
        <f>SUM(K388+K392+K405)</f>
        <v>373087</v>
      </c>
    </row>
    <row r="388" spans="1:11" ht="12.95" customHeight="1" x14ac:dyDescent="0.2">
      <c r="A388" s="157"/>
      <c r="B388" s="157"/>
      <c r="C388" s="299" t="s">
        <v>152</v>
      </c>
      <c r="D388" s="300"/>
      <c r="E388" s="232">
        <f t="shared" ref="E388:K388" si="137">SUM(E389:E391)</f>
        <v>0</v>
      </c>
      <c r="F388" s="232">
        <f t="shared" si="137"/>
        <v>0</v>
      </c>
      <c r="G388" s="232">
        <f t="shared" si="137"/>
        <v>0</v>
      </c>
      <c r="H388" s="232">
        <f t="shared" si="137"/>
        <v>315380</v>
      </c>
      <c r="I388" s="232">
        <f t="shared" si="137"/>
        <v>315380</v>
      </c>
      <c r="J388" s="232">
        <f t="shared" si="137"/>
        <v>0</v>
      </c>
      <c r="K388" s="232">
        <f t="shared" si="137"/>
        <v>315380</v>
      </c>
    </row>
    <row r="389" spans="1:11" ht="12.95" customHeight="1" x14ac:dyDescent="0.2">
      <c r="A389" s="157"/>
      <c r="B389" s="157"/>
      <c r="C389" s="145">
        <v>4010</v>
      </c>
      <c r="D389" s="185" t="s">
        <v>176</v>
      </c>
      <c r="E389" s="233"/>
      <c r="F389" s="233"/>
      <c r="G389" s="233">
        <f>SUM(E389:F389)</f>
        <v>0</v>
      </c>
      <c r="H389" s="233">
        <f>148220+22350+57280+35405</f>
        <v>263255</v>
      </c>
      <c r="I389" s="233">
        <f>SUM(G389:H389)</f>
        <v>263255</v>
      </c>
      <c r="J389" s="233"/>
      <c r="K389" s="233">
        <f>SUM(I389:J389)</f>
        <v>263255</v>
      </c>
    </row>
    <row r="390" spans="1:11" ht="12.95" customHeight="1" x14ac:dyDescent="0.2">
      <c r="A390" s="157"/>
      <c r="B390" s="157"/>
      <c r="C390" s="145">
        <v>4110</v>
      </c>
      <c r="D390" s="185" t="s">
        <v>179</v>
      </c>
      <c r="E390" s="233"/>
      <c r="F390" s="233"/>
      <c r="G390" s="233">
        <f>SUM(E390:F390)</f>
        <v>0</v>
      </c>
      <c r="H390" s="233">
        <f>25479+3822+9863+6513</f>
        <v>45677</v>
      </c>
      <c r="I390" s="233">
        <f>SUM(G390:H390)</f>
        <v>45677</v>
      </c>
      <c r="J390" s="233"/>
      <c r="K390" s="233">
        <f>SUM(I390:J390)</f>
        <v>45677</v>
      </c>
    </row>
    <row r="391" spans="1:11" ht="12.95" customHeight="1" x14ac:dyDescent="0.2">
      <c r="A391" s="157"/>
      <c r="B391" s="157"/>
      <c r="C391" s="145">
        <v>4120</v>
      </c>
      <c r="D391" s="185" t="s">
        <v>180</v>
      </c>
      <c r="E391" s="233"/>
      <c r="F391" s="233"/>
      <c r="G391" s="233">
        <f>SUM(E391:F391)</f>
        <v>0</v>
      </c>
      <c r="H391" s="233">
        <f>3631+548+1336+933</f>
        <v>6448</v>
      </c>
      <c r="I391" s="233">
        <f>SUM(G391:H391)</f>
        <v>6448</v>
      </c>
      <c r="J391" s="233"/>
      <c r="K391" s="233">
        <f>SUM(I391:J391)</f>
        <v>6448</v>
      </c>
    </row>
    <row r="392" spans="1:11" ht="25.5" customHeight="1" x14ac:dyDescent="0.2">
      <c r="A392" s="157"/>
      <c r="B392" s="157"/>
      <c r="C392" s="295" t="s">
        <v>294</v>
      </c>
      <c r="D392" s="296"/>
      <c r="E392" s="232">
        <f>SUM(E393:E402)</f>
        <v>0</v>
      </c>
      <c r="F392" s="232">
        <f>SUM(F393:F402)</f>
        <v>0</v>
      </c>
      <c r="G392" s="232">
        <f>SUM(G393:G404)</f>
        <v>0</v>
      </c>
      <c r="H392" s="232">
        <f>SUM(H393:H404)</f>
        <v>56897</v>
      </c>
      <c r="I392" s="232">
        <f>SUM(I393:I404)</f>
        <v>56897</v>
      </c>
      <c r="J392" s="232">
        <f>SUM(J393:J404)</f>
        <v>0</v>
      </c>
      <c r="K392" s="232">
        <f>SUM(K393:K404)</f>
        <v>56897</v>
      </c>
    </row>
    <row r="393" spans="1:11" ht="12.95" customHeight="1" x14ac:dyDescent="0.2">
      <c r="A393" s="157"/>
      <c r="B393" s="157"/>
      <c r="C393" s="144">
        <v>4210</v>
      </c>
      <c r="D393" s="192" t="s">
        <v>154</v>
      </c>
      <c r="E393" s="233"/>
      <c r="F393" s="233"/>
      <c r="G393" s="233">
        <f t="shared" ref="G393:G402" si="138">SUM(E393:F393)</f>
        <v>0</v>
      </c>
      <c r="H393" s="233">
        <f>1485+94+510+816</f>
        <v>2905</v>
      </c>
      <c r="I393" s="233">
        <f t="shared" ref="I393:I404" si="139">SUM(G393:H393)</f>
        <v>2905</v>
      </c>
      <c r="J393" s="233"/>
      <c r="K393" s="233">
        <f t="shared" ref="K393:K404" si="140">SUM(I393:J393)</f>
        <v>2905</v>
      </c>
    </row>
    <row r="394" spans="1:11" ht="12.95" customHeight="1" x14ac:dyDescent="0.2">
      <c r="A394" s="157"/>
      <c r="B394" s="157"/>
      <c r="C394" s="144">
        <v>4240</v>
      </c>
      <c r="D394" s="192" t="s">
        <v>212</v>
      </c>
      <c r="E394" s="233"/>
      <c r="F394" s="233"/>
      <c r="G394" s="233"/>
      <c r="H394" s="233">
        <f>1800+16331+1934+103</f>
        <v>20168</v>
      </c>
      <c r="I394" s="233">
        <f t="shared" si="139"/>
        <v>20168</v>
      </c>
      <c r="J394" s="233"/>
      <c r="K394" s="233">
        <f t="shared" si="140"/>
        <v>20168</v>
      </c>
    </row>
    <row r="395" spans="1:11" ht="12.95" customHeight="1" x14ac:dyDescent="0.2">
      <c r="A395" s="157"/>
      <c r="B395" s="157"/>
      <c r="C395" s="144">
        <v>4260</v>
      </c>
      <c r="D395" s="185" t="s">
        <v>155</v>
      </c>
      <c r="E395" s="233"/>
      <c r="F395" s="233"/>
      <c r="G395" s="233">
        <f t="shared" si="138"/>
        <v>0</v>
      </c>
      <c r="H395" s="233">
        <f>2300+298+5210+6534</f>
        <v>14342</v>
      </c>
      <c r="I395" s="233">
        <f t="shared" si="139"/>
        <v>14342</v>
      </c>
      <c r="J395" s="233"/>
      <c r="K395" s="233">
        <f t="shared" si="140"/>
        <v>14342</v>
      </c>
    </row>
    <row r="396" spans="1:11" ht="12.95" customHeight="1" x14ac:dyDescent="0.2">
      <c r="A396" s="157"/>
      <c r="B396" s="157"/>
      <c r="C396" s="144">
        <v>4270</v>
      </c>
      <c r="D396" s="185" t="s">
        <v>156</v>
      </c>
      <c r="E396" s="233"/>
      <c r="F396" s="233"/>
      <c r="G396" s="233">
        <f t="shared" si="138"/>
        <v>0</v>
      </c>
      <c r="H396" s="233">
        <f>3469+78+220</f>
        <v>3767</v>
      </c>
      <c r="I396" s="233">
        <f t="shared" si="139"/>
        <v>3767</v>
      </c>
      <c r="J396" s="233"/>
      <c r="K396" s="233">
        <f t="shared" si="140"/>
        <v>3767</v>
      </c>
    </row>
    <row r="397" spans="1:11" ht="12.95" customHeight="1" x14ac:dyDescent="0.2">
      <c r="A397" s="157"/>
      <c r="B397" s="157"/>
      <c r="C397" s="144">
        <v>4280</v>
      </c>
      <c r="D397" s="185" t="s">
        <v>182</v>
      </c>
      <c r="E397" s="233"/>
      <c r="F397" s="233"/>
      <c r="G397" s="233"/>
      <c r="H397" s="233">
        <v>9</v>
      </c>
      <c r="I397" s="233">
        <f t="shared" si="139"/>
        <v>9</v>
      </c>
      <c r="J397" s="233"/>
      <c r="K397" s="233">
        <f t="shared" si="140"/>
        <v>9</v>
      </c>
    </row>
    <row r="398" spans="1:11" ht="12.95" customHeight="1" x14ac:dyDescent="0.2">
      <c r="A398" s="157"/>
      <c r="B398" s="157"/>
      <c r="C398" s="144">
        <v>4300</v>
      </c>
      <c r="D398" s="185" t="s">
        <v>145</v>
      </c>
      <c r="E398" s="233"/>
      <c r="F398" s="233"/>
      <c r="G398" s="233">
        <f t="shared" si="138"/>
        <v>0</v>
      </c>
      <c r="H398" s="233">
        <f>1800+48+255+1593</f>
        <v>3696</v>
      </c>
      <c r="I398" s="233">
        <f t="shared" si="139"/>
        <v>3696</v>
      </c>
      <c r="J398" s="233"/>
      <c r="K398" s="233">
        <f t="shared" si="140"/>
        <v>3696</v>
      </c>
    </row>
    <row r="399" spans="1:11" ht="12.95" customHeight="1" x14ac:dyDescent="0.2">
      <c r="A399" s="157"/>
      <c r="B399" s="157"/>
      <c r="C399" s="144">
        <v>4360</v>
      </c>
      <c r="D399" s="185" t="s">
        <v>307</v>
      </c>
      <c r="E399" s="233"/>
      <c r="F399" s="233"/>
      <c r="G399" s="233"/>
      <c r="H399" s="233">
        <f>400+10+110+502</f>
        <v>1022</v>
      </c>
      <c r="I399" s="233">
        <f t="shared" si="139"/>
        <v>1022</v>
      </c>
      <c r="J399" s="233"/>
      <c r="K399" s="233">
        <f t="shared" si="140"/>
        <v>1022</v>
      </c>
    </row>
    <row r="400" spans="1:11" ht="12.95" customHeight="1" x14ac:dyDescent="0.2">
      <c r="A400" s="157"/>
      <c r="B400" s="157"/>
      <c r="C400" s="144">
        <v>4410</v>
      </c>
      <c r="D400" s="185" t="s">
        <v>171</v>
      </c>
      <c r="E400" s="233"/>
      <c r="F400" s="233"/>
      <c r="G400" s="233"/>
      <c r="H400" s="233">
        <v>6</v>
      </c>
      <c r="I400" s="233">
        <f t="shared" si="139"/>
        <v>6</v>
      </c>
      <c r="J400" s="233"/>
      <c r="K400" s="233">
        <f t="shared" si="140"/>
        <v>6</v>
      </c>
    </row>
    <row r="401" spans="1:11" ht="12.95" customHeight="1" x14ac:dyDescent="0.2">
      <c r="A401" s="157"/>
      <c r="B401" s="157"/>
      <c r="C401" s="144">
        <v>4430</v>
      </c>
      <c r="D401" s="185" t="s">
        <v>157</v>
      </c>
      <c r="E401" s="233"/>
      <c r="F401" s="233"/>
      <c r="G401" s="233"/>
      <c r="H401" s="233">
        <f>83+314</f>
        <v>397</v>
      </c>
      <c r="I401" s="233">
        <f t="shared" si="139"/>
        <v>397</v>
      </c>
      <c r="J401" s="233"/>
      <c r="K401" s="233">
        <f t="shared" si="140"/>
        <v>397</v>
      </c>
    </row>
    <row r="402" spans="1:11" ht="12.95" customHeight="1" x14ac:dyDescent="0.2">
      <c r="A402" s="157"/>
      <c r="B402" s="157"/>
      <c r="C402" s="145">
        <v>4440</v>
      </c>
      <c r="D402" s="191" t="s">
        <v>186</v>
      </c>
      <c r="E402" s="233"/>
      <c r="F402" s="233"/>
      <c r="G402" s="233">
        <f t="shared" si="138"/>
        <v>0</v>
      </c>
      <c r="H402" s="233">
        <f>2650+1250+4084+2541</f>
        <v>10525</v>
      </c>
      <c r="I402" s="233">
        <f t="shared" si="139"/>
        <v>10525</v>
      </c>
      <c r="J402" s="233"/>
      <c r="K402" s="233">
        <f t="shared" si="140"/>
        <v>10525</v>
      </c>
    </row>
    <row r="403" spans="1:11" ht="12.95" customHeight="1" x14ac:dyDescent="0.2">
      <c r="A403" s="157"/>
      <c r="B403" s="157"/>
      <c r="C403" s="172">
        <v>4480</v>
      </c>
      <c r="D403" s="266" t="s">
        <v>172</v>
      </c>
      <c r="E403" s="233"/>
      <c r="F403" s="233"/>
      <c r="G403" s="233"/>
      <c r="H403" s="233">
        <f>48</f>
        <v>48</v>
      </c>
      <c r="I403" s="233">
        <f t="shared" si="139"/>
        <v>48</v>
      </c>
      <c r="J403" s="233"/>
      <c r="K403" s="233">
        <f t="shared" si="140"/>
        <v>48</v>
      </c>
    </row>
    <row r="404" spans="1:11" ht="12.95" customHeight="1" x14ac:dyDescent="0.2">
      <c r="A404" s="157"/>
      <c r="B404" s="157"/>
      <c r="C404" s="172">
        <v>4700</v>
      </c>
      <c r="D404" s="266" t="s">
        <v>173</v>
      </c>
      <c r="E404" s="233"/>
      <c r="F404" s="233"/>
      <c r="G404" s="233"/>
      <c r="H404" s="233">
        <f>12</f>
        <v>12</v>
      </c>
      <c r="I404" s="233">
        <f t="shared" si="139"/>
        <v>12</v>
      </c>
      <c r="J404" s="233"/>
      <c r="K404" s="233">
        <f t="shared" si="140"/>
        <v>12</v>
      </c>
    </row>
    <row r="405" spans="1:11" ht="12.95" customHeight="1" x14ac:dyDescent="0.2">
      <c r="A405" s="157"/>
      <c r="B405" s="157"/>
      <c r="C405" s="299" t="s">
        <v>150</v>
      </c>
      <c r="D405" s="300"/>
      <c r="E405" s="233"/>
      <c r="F405" s="233"/>
      <c r="G405" s="237">
        <f>SUM(G406)</f>
        <v>0</v>
      </c>
      <c r="H405" s="237">
        <f>SUM(H406)</f>
        <v>810</v>
      </c>
      <c r="I405" s="237">
        <f>SUM(I406)</f>
        <v>810</v>
      </c>
      <c r="J405" s="237">
        <f>SUM(J406)</f>
        <v>0</v>
      </c>
      <c r="K405" s="237">
        <f>SUM(K406)</f>
        <v>810</v>
      </c>
    </row>
    <row r="406" spans="1:11" ht="12.95" customHeight="1" x14ac:dyDescent="0.2">
      <c r="A406" s="157"/>
      <c r="B406" s="157"/>
      <c r="C406" s="145">
        <v>3020</v>
      </c>
      <c r="D406" s="192" t="s">
        <v>229</v>
      </c>
      <c r="E406" s="233"/>
      <c r="F406" s="233"/>
      <c r="G406" s="233"/>
      <c r="H406" s="233">
        <f>350+192+268</f>
        <v>810</v>
      </c>
      <c r="I406" s="233">
        <f>SUM(G406:H406)</f>
        <v>810</v>
      </c>
      <c r="J406" s="233"/>
      <c r="K406" s="233">
        <f>SUM(I406:J406)</f>
        <v>810</v>
      </c>
    </row>
    <row r="407" spans="1:11" ht="12.95" customHeight="1" x14ac:dyDescent="0.2">
      <c r="A407" s="167"/>
      <c r="B407" s="167">
        <v>80195</v>
      </c>
      <c r="C407" s="146"/>
      <c r="D407" s="188" t="s">
        <v>65</v>
      </c>
      <c r="E407" s="234">
        <f t="shared" ref="E407:K407" si="141">SUM(E408+E410)</f>
        <v>983457</v>
      </c>
      <c r="F407" s="234">
        <f t="shared" si="141"/>
        <v>0</v>
      </c>
      <c r="G407" s="234">
        <f t="shared" si="141"/>
        <v>983457</v>
      </c>
      <c r="H407" s="234">
        <f t="shared" si="141"/>
        <v>166116</v>
      </c>
      <c r="I407" s="234">
        <f t="shared" si="141"/>
        <v>1149573</v>
      </c>
      <c r="J407" s="234">
        <f t="shared" si="141"/>
        <v>-500</v>
      </c>
      <c r="K407" s="234">
        <f t="shared" si="141"/>
        <v>1149073</v>
      </c>
    </row>
    <row r="408" spans="1:11" ht="12.95" customHeight="1" x14ac:dyDescent="0.2">
      <c r="A408" s="168"/>
      <c r="B408" s="152"/>
      <c r="C408" s="299" t="s">
        <v>152</v>
      </c>
      <c r="D408" s="300"/>
      <c r="E408" s="228">
        <f t="shared" ref="E408:K408" si="142">SUM(E409)</f>
        <v>17839</v>
      </c>
      <c r="F408" s="228">
        <f t="shared" si="142"/>
        <v>0</v>
      </c>
      <c r="G408" s="228">
        <f t="shared" si="142"/>
        <v>17839</v>
      </c>
      <c r="H408" s="228">
        <f t="shared" si="142"/>
        <v>0</v>
      </c>
      <c r="I408" s="228">
        <f t="shared" si="142"/>
        <v>17839</v>
      </c>
      <c r="J408" s="228">
        <f t="shared" si="142"/>
        <v>0</v>
      </c>
      <c r="K408" s="228">
        <f t="shared" si="142"/>
        <v>17839</v>
      </c>
    </row>
    <row r="409" spans="1:11" ht="12.95" customHeight="1" x14ac:dyDescent="0.2">
      <c r="A409" s="157"/>
      <c r="B409" s="157"/>
      <c r="C409" s="144">
        <v>4170</v>
      </c>
      <c r="D409" s="192" t="s">
        <v>153</v>
      </c>
      <c r="E409" s="229">
        <f>15000+2839</f>
        <v>17839</v>
      </c>
      <c r="F409" s="229"/>
      <c r="G409" s="229">
        <f>SUM(E409:F409)</f>
        <v>17839</v>
      </c>
      <c r="H409" s="229"/>
      <c r="I409" s="229">
        <f>SUM(G409:H409)</f>
        <v>17839</v>
      </c>
      <c r="J409" s="229"/>
      <c r="K409" s="229">
        <f>SUM(I409:J409)</f>
        <v>17839</v>
      </c>
    </row>
    <row r="410" spans="1:11" ht="24" customHeight="1" x14ac:dyDescent="0.2">
      <c r="A410" s="168"/>
      <c r="B410" s="207"/>
      <c r="C410" s="295" t="s">
        <v>294</v>
      </c>
      <c r="D410" s="296"/>
      <c r="E410" s="228">
        <f t="shared" ref="E410:K410" si="143">SUM(E411:E415)</f>
        <v>965618</v>
      </c>
      <c r="F410" s="228">
        <f t="shared" si="143"/>
        <v>0</v>
      </c>
      <c r="G410" s="228">
        <f t="shared" si="143"/>
        <v>965618</v>
      </c>
      <c r="H410" s="228">
        <f t="shared" si="143"/>
        <v>166116</v>
      </c>
      <c r="I410" s="228">
        <f t="shared" si="143"/>
        <v>1131734</v>
      </c>
      <c r="J410" s="228">
        <f t="shared" si="143"/>
        <v>-500</v>
      </c>
      <c r="K410" s="228">
        <f t="shared" si="143"/>
        <v>1131234</v>
      </c>
    </row>
    <row r="411" spans="1:11" ht="12.95" customHeight="1" x14ac:dyDescent="0.2">
      <c r="A411" s="157"/>
      <c r="B411" s="157"/>
      <c r="C411" s="144">
        <v>4210</v>
      </c>
      <c r="D411" s="192" t="s">
        <v>154</v>
      </c>
      <c r="E411" s="229">
        <f>17750+5252</f>
        <v>23002</v>
      </c>
      <c r="F411" s="229"/>
      <c r="G411" s="229">
        <f>SUM(E411:F411)</f>
        <v>23002</v>
      </c>
      <c r="H411" s="229"/>
      <c r="I411" s="229">
        <f>SUM(G411:H411)</f>
        <v>23002</v>
      </c>
      <c r="J411" s="229"/>
      <c r="K411" s="229">
        <f>SUM(I411:J411)</f>
        <v>23002</v>
      </c>
    </row>
    <row r="412" spans="1:11" x14ac:dyDescent="0.2">
      <c r="A412" s="157"/>
      <c r="B412" s="157"/>
      <c r="C412" s="144">
        <v>4260</v>
      </c>
      <c r="D412" s="192" t="s">
        <v>155</v>
      </c>
      <c r="E412" s="229">
        <f>7508</f>
        <v>7508</v>
      </c>
      <c r="F412" s="229"/>
      <c r="G412" s="229">
        <f>SUM(E412:F412)</f>
        <v>7508</v>
      </c>
      <c r="H412" s="229"/>
      <c r="I412" s="229">
        <f>SUM(G412:H412)</f>
        <v>7508</v>
      </c>
      <c r="J412" s="229"/>
      <c r="K412" s="229">
        <f>SUM(I412:J412)</f>
        <v>7508</v>
      </c>
    </row>
    <row r="413" spans="1:11" x14ac:dyDescent="0.2">
      <c r="A413" s="157"/>
      <c r="B413" s="157"/>
      <c r="C413" s="144">
        <v>4270</v>
      </c>
      <c r="D413" s="192" t="s">
        <v>156</v>
      </c>
      <c r="E413" s="229">
        <v>67500</v>
      </c>
      <c r="F413" s="229"/>
      <c r="G413" s="229">
        <f>SUM(E413:F413)</f>
        <v>67500</v>
      </c>
      <c r="H413" s="229"/>
      <c r="I413" s="229">
        <f>SUM(G413:H413)</f>
        <v>67500</v>
      </c>
      <c r="J413" s="229"/>
      <c r="K413" s="229">
        <f>SUM(I413:J413)</f>
        <v>67500</v>
      </c>
    </row>
    <row r="414" spans="1:11" ht="12.95" customHeight="1" x14ac:dyDescent="0.2">
      <c r="A414" s="157"/>
      <c r="B414" s="157"/>
      <c r="C414" s="144">
        <v>4300</v>
      </c>
      <c r="D414" s="185" t="s">
        <v>145</v>
      </c>
      <c r="E414" s="229">
        <f>867016+388</f>
        <v>867404</v>
      </c>
      <c r="F414" s="229"/>
      <c r="G414" s="229">
        <f>SUM(E414:F414)</f>
        <v>867404</v>
      </c>
      <c r="H414" s="229">
        <f>-2000+293536-1500-123920</f>
        <v>166116</v>
      </c>
      <c r="I414" s="229">
        <f>SUM(G414:H414)</f>
        <v>1033520</v>
      </c>
      <c r="J414" s="229">
        <v>-500</v>
      </c>
      <c r="K414" s="229">
        <f>SUM(I414:J414)</f>
        <v>1033020</v>
      </c>
    </row>
    <row r="415" spans="1:11" ht="12.95" customHeight="1" x14ac:dyDescent="0.2">
      <c r="A415" s="157"/>
      <c r="B415" s="157"/>
      <c r="C415" s="144">
        <v>4360</v>
      </c>
      <c r="D415" s="185" t="s">
        <v>263</v>
      </c>
      <c r="E415" s="229">
        <f>204</f>
        <v>204</v>
      </c>
      <c r="F415" s="229"/>
      <c r="G415" s="229">
        <f>SUM(E415:F415)</f>
        <v>204</v>
      </c>
      <c r="H415" s="229"/>
      <c r="I415" s="229">
        <f>SUM(G415:H415)</f>
        <v>204</v>
      </c>
      <c r="J415" s="229"/>
      <c r="K415" s="229">
        <f>SUM(I415:J415)</f>
        <v>204</v>
      </c>
    </row>
    <row r="416" spans="1:11" ht="12.95" customHeight="1" x14ac:dyDescent="0.2">
      <c r="A416" s="170">
        <v>851</v>
      </c>
      <c r="B416" s="170"/>
      <c r="C416" s="143"/>
      <c r="D416" s="189" t="s">
        <v>103</v>
      </c>
      <c r="E416" s="236">
        <f t="shared" ref="E416:K416" si="144">SUM(E417+E427+E432+E436+E439)</f>
        <v>4748828</v>
      </c>
      <c r="F416" s="236">
        <f t="shared" si="144"/>
        <v>0</v>
      </c>
      <c r="G416" s="236">
        <f t="shared" si="144"/>
        <v>4748828</v>
      </c>
      <c r="H416" s="236">
        <f t="shared" si="144"/>
        <v>182849</v>
      </c>
      <c r="I416" s="236">
        <f t="shared" si="144"/>
        <v>4931677</v>
      </c>
      <c r="J416" s="236">
        <f t="shared" si="144"/>
        <v>127511</v>
      </c>
      <c r="K416" s="236">
        <f t="shared" si="144"/>
        <v>5059188</v>
      </c>
    </row>
    <row r="417" spans="1:11" x14ac:dyDescent="0.2">
      <c r="A417" s="167"/>
      <c r="B417" s="167">
        <v>85111</v>
      </c>
      <c r="C417" s="146"/>
      <c r="D417" s="188" t="s">
        <v>104</v>
      </c>
      <c r="E417" s="234">
        <f t="shared" ref="E417:K417" si="145">SUM(E418+E420+E423)</f>
        <v>2012978</v>
      </c>
      <c r="F417" s="234">
        <f t="shared" si="145"/>
        <v>0</v>
      </c>
      <c r="G417" s="234">
        <f t="shared" si="145"/>
        <v>2012978</v>
      </c>
      <c r="H417" s="234">
        <f t="shared" si="145"/>
        <v>127949</v>
      </c>
      <c r="I417" s="234">
        <f t="shared" si="145"/>
        <v>2140927</v>
      </c>
      <c r="J417" s="234">
        <f t="shared" si="145"/>
        <v>127511</v>
      </c>
      <c r="K417" s="234">
        <f t="shared" si="145"/>
        <v>2268438</v>
      </c>
    </row>
    <row r="418" spans="1:11" s="127" customFormat="1" ht="24" customHeight="1" x14ac:dyDescent="0.2">
      <c r="A418" s="171"/>
      <c r="B418" s="212"/>
      <c r="C418" s="313" t="s">
        <v>294</v>
      </c>
      <c r="D418" s="314"/>
      <c r="E418" s="237">
        <f t="shared" ref="E418:K418" si="146">SUM(E419)</f>
        <v>20000</v>
      </c>
      <c r="F418" s="237">
        <f t="shared" si="146"/>
        <v>0</v>
      </c>
      <c r="G418" s="237">
        <f t="shared" si="146"/>
        <v>20000</v>
      </c>
      <c r="H418" s="237">
        <f t="shared" si="146"/>
        <v>0</v>
      </c>
      <c r="I418" s="237">
        <f t="shared" si="146"/>
        <v>20000</v>
      </c>
      <c r="J418" s="237">
        <f t="shared" si="146"/>
        <v>0</v>
      </c>
      <c r="K418" s="237">
        <f t="shared" si="146"/>
        <v>20000</v>
      </c>
    </row>
    <row r="419" spans="1:11" x14ac:dyDescent="0.2">
      <c r="A419" s="172"/>
      <c r="B419" s="172"/>
      <c r="C419" s="145">
        <v>4300</v>
      </c>
      <c r="D419" s="191" t="s">
        <v>145</v>
      </c>
      <c r="E419" s="241">
        <v>20000</v>
      </c>
      <c r="F419" s="241"/>
      <c r="G419" s="241">
        <f>SUM(E419:F419)</f>
        <v>20000</v>
      </c>
      <c r="H419" s="241"/>
      <c r="I419" s="241">
        <f>SUM(G419:H419)</f>
        <v>20000</v>
      </c>
      <c r="J419" s="241"/>
      <c r="K419" s="241">
        <f>SUM(I419:J419)</f>
        <v>20000</v>
      </c>
    </row>
    <row r="420" spans="1:11" s="127" customFormat="1" ht="12.95" customHeight="1" x14ac:dyDescent="0.2">
      <c r="A420" s="171"/>
      <c r="B420" s="212"/>
      <c r="C420" s="297" t="s">
        <v>158</v>
      </c>
      <c r="D420" s="298"/>
      <c r="E420" s="232">
        <f t="shared" ref="E420:K421" si="147">SUM(E421)</f>
        <v>433000</v>
      </c>
      <c r="F420" s="232">
        <f t="shared" si="147"/>
        <v>0</v>
      </c>
      <c r="G420" s="232">
        <f t="shared" si="147"/>
        <v>433000</v>
      </c>
      <c r="H420" s="232">
        <f t="shared" si="147"/>
        <v>127949</v>
      </c>
      <c r="I420" s="232">
        <f t="shared" si="147"/>
        <v>560949</v>
      </c>
      <c r="J420" s="232">
        <f t="shared" si="147"/>
        <v>0</v>
      </c>
      <c r="K420" s="232">
        <f t="shared" si="147"/>
        <v>560949</v>
      </c>
    </row>
    <row r="421" spans="1:11" ht="23.25" customHeight="1" x14ac:dyDescent="0.2">
      <c r="A421" s="172"/>
      <c r="B421" s="172"/>
      <c r="C421" s="144"/>
      <c r="D421" s="197" t="s">
        <v>291</v>
      </c>
      <c r="E421" s="237">
        <f t="shared" si="147"/>
        <v>433000</v>
      </c>
      <c r="F421" s="237">
        <f t="shared" si="147"/>
        <v>0</v>
      </c>
      <c r="G421" s="237">
        <f t="shared" si="147"/>
        <v>433000</v>
      </c>
      <c r="H421" s="237">
        <f t="shared" si="147"/>
        <v>127949</v>
      </c>
      <c r="I421" s="237">
        <f t="shared" si="147"/>
        <v>560949</v>
      </c>
      <c r="J421" s="237">
        <f t="shared" si="147"/>
        <v>0</v>
      </c>
      <c r="K421" s="237">
        <f t="shared" si="147"/>
        <v>560949</v>
      </c>
    </row>
    <row r="422" spans="1:11" ht="12.95" customHeight="1" x14ac:dyDescent="0.2">
      <c r="A422" s="172"/>
      <c r="B422" s="172"/>
      <c r="C422" s="144">
        <v>6010</v>
      </c>
      <c r="D422" s="185" t="s">
        <v>290</v>
      </c>
      <c r="E422" s="233">
        <v>433000</v>
      </c>
      <c r="F422" s="233"/>
      <c r="G422" s="233">
        <f>SUM(E422:F422)</f>
        <v>433000</v>
      </c>
      <c r="H422" s="233">
        <v>127949</v>
      </c>
      <c r="I422" s="233">
        <f>SUM(G422:H422)</f>
        <v>560949</v>
      </c>
      <c r="J422" s="233"/>
      <c r="K422" s="233">
        <f>SUM(I422:J422)</f>
        <v>560949</v>
      </c>
    </row>
    <row r="423" spans="1:11" ht="12.95" customHeight="1" x14ac:dyDescent="0.2">
      <c r="A423" s="172"/>
      <c r="B423" s="172"/>
      <c r="C423" s="144"/>
      <c r="D423" s="193" t="s">
        <v>301</v>
      </c>
      <c r="E423" s="237">
        <f t="shared" ref="E423:K423" si="148">SUM(E424:E425)</f>
        <v>1559978</v>
      </c>
      <c r="F423" s="237">
        <f t="shared" si="148"/>
        <v>0</v>
      </c>
      <c r="G423" s="237">
        <f t="shared" si="148"/>
        <v>1559978</v>
      </c>
      <c r="H423" s="237">
        <f t="shared" si="148"/>
        <v>0</v>
      </c>
      <c r="I423" s="237">
        <f t="shared" si="148"/>
        <v>1559978</v>
      </c>
      <c r="J423" s="237">
        <f t="shared" si="148"/>
        <v>127511</v>
      </c>
      <c r="K423" s="237">
        <f t="shared" si="148"/>
        <v>1687489</v>
      </c>
    </row>
    <row r="424" spans="1:11" ht="12.95" customHeight="1" x14ac:dyDescent="0.2">
      <c r="A424" s="172"/>
      <c r="B424" s="172"/>
      <c r="C424" s="144">
        <v>6057</v>
      </c>
      <c r="D424" s="185" t="s">
        <v>159</v>
      </c>
      <c r="E424" s="233">
        <v>1295979</v>
      </c>
      <c r="F424" s="233"/>
      <c r="G424" s="233">
        <f>SUM(E424:F424)</f>
        <v>1295979</v>
      </c>
      <c r="H424" s="233"/>
      <c r="I424" s="233">
        <f>SUM(G424:H424)</f>
        <v>1295979</v>
      </c>
      <c r="J424" s="233"/>
      <c r="K424" s="233">
        <f>SUM(I424:J424)</f>
        <v>1295979</v>
      </c>
    </row>
    <row r="425" spans="1:11" ht="12.95" customHeight="1" x14ac:dyDescent="0.2">
      <c r="A425" s="172"/>
      <c r="B425" s="172"/>
      <c r="C425" s="144">
        <v>6059</v>
      </c>
      <c r="D425" s="185" t="s">
        <v>159</v>
      </c>
      <c r="E425" s="233">
        <v>263999</v>
      </c>
      <c r="F425" s="233"/>
      <c r="G425" s="233">
        <f>SUM(E425:F425)</f>
        <v>263999</v>
      </c>
      <c r="H425" s="233"/>
      <c r="I425" s="233">
        <f>SUM(G425:H425)</f>
        <v>263999</v>
      </c>
      <c r="J425" s="233">
        <v>127511</v>
      </c>
      <c r="K425" s="233">
        <f>SUM(I425:J425)</f>
        <v>391510</v>
      </c>
    </row>
    <row r="426" spans="1:11" ht="35.25" customHeight="1" x14ac:dyDescent="0.2">
      <c r="A426" s="172"/>
      <c r="B426" s="172"/>
      <c r="C426" s="144"/>
      <c r="D426" s="197" t="s">
        <v>266</v>
      </c>
      <c r="E426" s="237">
        <f t="shared" ref="E426:K426" si="149">SUM(E424:E425)</f>
        <v>1559978</v>
      </c>
      <c r="F426" s="237">
        <f t="shared" si="149"/>
        <v>0</v>
      </c>
      <c r="G426" s="237">
        <f t="shared" si="149"/>
        <v>1559978</v>
      </c>
      <c r="H426" s="237">
        <f t="shared" si="149"/>
        <v>0</v>
      </c>
      <c r="I426" s="237">
        <f t="shared" si="149"/>
        <v>1559978</v>
      </c>
      <c r="J426" s="237">
        <f t="shared" si="149"/>
        <v>127511</v>
      </c>
      <c r="K426" s="237">
        <f t="shared" si="149"/>
        <v>1687489</v>
      </c>
    </row>
    <row r="427" spans="1:11" ht="12.95" customHeight="1" x14ac:dyDescent="0.2">
      <c r="A427" s="167"/>
      <c r="B427" s="167">
        <v>85152</v>
      </c>
      <c r="C427" s="146"/>
      <c r="D427" s="188" t="s">
        <v>223</v>
      </c>
      <c r="E427" s="234">
        <f t="shared" ref="E427:K427" si="150">SUM(E428+E430)</f>
        <v>4350</v>
      </c>
      <c r="F427" s="234">
        <f t="shared" si="150"/>
        <v>0</v>
      </c>
      <c r="G427" s="234">
        <f t="shared" si="150"/>
        <v>4350</v>
      </c>
      <c r="H427" s="234">
        <f t="shared" si="150"/>
        <v>0</v>
      </c>
      <c r="I427" s="234">
        <f t="shared" si="150"/>
        <v>4350</v>
      </c>
      <c r="J427" s="234">
        <f t="shared" si="150"/>
        <v>0</v>
      </c>
      <c r="K427" s="234">
        <f t="shared" si="150"/>
        <v>4350</v>
      </c>
    </row>
    <row r="428" spans="1:11" s="127" customFormat="1" ht="12" customHeight="1" x14ac:dyDescent="0.2">
      <c r="A428" s="171"/>
      <c r="B428" s="152"/>
      <c r="C428" s="299" t="s">
        <v>152</v>
      </c>
      <c r="D428" s="300"/>
      <c r="E428" s="232">
        <f t="shared" ref="E428:K428" si="151">SUM(E429:E429)</f>
        <v>3350</v>
      </c>
      <c r="F428" s="232">
        <f t="shared" si="151"/>
        <v>0</v>
      </c>
      <c r="G428" s="232">
        <f t="shared" si="151"/>
        <v>3350</v>
      </c>
      <c r="H428" s="232">
        <f t="shared" si="151"/>
        <v>0</v>
      </c>
      <c r="I428" s="232">
        <f t="shared" si="151"/>
        <v>3350</v>
      </c>
      <c r="J428" s="232">
        <f t="shared" si="151"/>
        <v>0</v>
      </c>
      <c r="K428" s="232">
        <f t="shared" si="151"/>
        <v>3350</v>
      </c>
    </row>
    <row r="429" spans="1:11" x14ac:dyDescent="0.2">
      <c r="A429" s="172"/>
      <c r="B429" s="172"/>
      <c r="C429" s="157">
        <v>4170</v>
      </c>
      <c r="D429" s="192" t="s">
        <v>154</v>
      </c>
      <c r="E429" s="233">
        <v>3350</v>
      </c>
      <c r="F429" s="233"/>
      <c r="G429" s="233">
        <f>SUM(E429:F429)</f>
        <v>3350</v>
      </c>
      <c r="H429" s="233"/>
      <c r="I429" s="233">
        <f>SUM(G429:H429)</f>
        <v>3350</v>
      </c>
      <c r="J429" s="233"/>
      <c r="K429" s="233">
        <f>SUM(I429:J429)</f>
        <v>3350</v>
      </c>
    </row>
    <row r="430" spans="1:11" ht="25.5" customHeight="1" x14ac:dyDescent="0.2">
      <c r="A430" s="172"/>
      <c r="B430" s="207"/>
      <c r="C430" s="295" t="s">
        <v>294</v>
      </c>
      <c r="D430" s="296"/>
      <c r="E430" s="237">
        <f t="shared" ref="E430:K430" si="152">SUM(E431)</f>
        <v>1000</v>
      </c>
      <c r="F430" s="237">
        <f t="shared" si="152"/>
        <v>0</v>
      </c>
      <c r="G430" s="237">
        <f t="shared" si="152"/>
        <v>1000</v>
      </c>
      <c r="H430" s="237">
        <f t="shared" si="152"/>
        <v>0</v>
      </c>
      <c r="I430" s="237">
        <f t="shared" si="152"/>
        <v>1000</v>
      </c>
      <c r="J430" s="237">
        <f t="shared" si="152"/>
        <v>0</v>
      </c>
      <c r="K430" s="237">
        <f t="shared" si="152"/>
        <v>1000</v>
      </c>
    </row>
    <row r="431" spans="1:11" x14ac:dyDescent="0.2">
      <c r="A431" s="172"/>
      <c r="B431" s="172"/>
      <c r="C431" s="144">
        <v>4300</v>
      </c>
      <c r="D431" s="185" t="s">
        <v>145</v>
      </c>
      <c r="E431" s="233">
        <v>1000</v>
      </c>
      <c r="F431" s="233"/>
      <c r="G431" s="233">
        <f>SUM(E431:F431)</f>
        <v>1000</v>
      </c>
      <c r="H431" s="233"/>
      <c r="I431" s="233">
        <f>SUM(G431:H431)</f>
        <v>1000</v>
      </c>
      <c r="J431" s="233"/>
      <c r="K431" s="233">
        <f>SUM(I431:J431)</f>
        <v>1000</v>
      </c>
    </row>
    <row r="432" spans="1:11" ht="12.95" customHeight="1" x14ac:dyDescent="0.2">
      <c r="A432" s="167"/>
      <c r="B432" s="167">
        <v>85154</v>
      </c>
      <c r="C432" s="146"/>
      <c r="D432" s="188" t="s">
        <v>224</v>
      </c>
      <c r="E432" s="234">
        <f t="shared" ref="E432:K432" si="153">SUM(E433)</f>
        <v>4000</v>
      </c>
      <c r="F432" s="234">
        <f t="shared" si="153"/>
        <v>0</v>
      </c>
      <c r="G432" s="234">
        <f t="shared" si="153"/>
        <v>4000</v>
      </c>
      <c r="H432" s="234">
        <f t="shared" si="153"/>
        <v>0</v>
      </c>
      <c r="I432" s="234">
        <f t="shared" si="153"/>
        <v>4000</v>
      </c>
      <c r="J432" s="234">
        <f t="shared" si="153"/>
        <v>0</v>
      </c>
      <c r="K432" s="234">
        <f t="shared" si="153"/>
        <v>4000</v>
      </c>
    </row>
    <row r="433" spans="1:11" s="127" customFormat="1" ht="25.5" customHeight="1" x14ac:dyDescent="0.2">
      <c r="A433" s="171"/>
      <c r="B433" s="207"/>
      <c r="C433" s="295" t="s">
        <v>294</v>
      </c>
      <c r="D433" s="296"/>
      <c r="E433" s="232">
        <f t="shared" ref="E433:K433" si="154">SUM(E434:E435)</f>
        <v>4000</v>
      </c>
      <c r="F433" s="232">
        <f t="shared" si="154"/>
        <v>0</v>
      </c>
      <c r="G433" s="232">
        <f t="shared" si="154"/>
        <v>4000</v>
      </c>
      <c r="H433" s="232">
        <f t="shared" si="154"/>
        <v>0</v>
      </c>
      <c r="I433" s="232">
        <f t="shared" si="154"/>
        <v>4000</v>
      </c>
      <c r="J433" s="232">
        <f t="shared" si="154"/>
        <v>0</v>
      </c>
      <c r="K433" s="232">
        <f t="shared" si="154"/>
        <v>4000</v>
      </c>
    </row>
    <row r="434" spans="1:11" ht="12.95" customHeight="1" x14ac:dyDescent="0.2">
      <c r="A434" s="172"/>
      <c r="B434" s="172"/>
      <c r="C434" s="144">
        <v>4210</v>
      </c>
      <c r="D434" s="185" t="s">
        <v>154</v>
      </c>
      <c r="E434" s="233">
        <v>3000</v>
      </c>
      <c r="F434" s="233"/>
      <c r="G434" s="233">
        <f>SUM(E434:F434)</f>
        <v>3000</v>
      </c>
      <c r="H434" s="233"/>
      <c r="I434" s="233">
        <f>SUM(G434:H434)</f>
        <v>3000</v>
      </c>
      <c r="J434" s="233"/>
      <c r="K434" s="233">
        <f>SUM(I434:J434)</f>
        <v>3000</v>
      </c>
    </row>
    <row r="435" spans="1:11" ht="12.95" customHeight="1" x14ac:dyDescent="0.2">
      <c r="A435" s="172"/>
      <c r="B435" s="172"/>
      <c r="C435" s="144">
        <v>4300</v>
      </c>
      <c r="D435" s="185" t="s">
        <v>145</v>
      </c>
      <c r="E435" s="233">
        <v>1000</v>
      </c>
      <c r="F435" s="233"/>
      <c r="G435" s="233">
        <f>SUM(E435:F435)</f>
        <v>1000</v>
      </c>
      <c r="H435" s="233"/>
      <c r="I435" s="233">
        <f>SUM(G435:H435)</f>
        <v>1000</v>
      </c>
      <c r="J435" s="233"/>
      <c r="K435" s="233">
        <f>SUM(I435:J435)</f>
        <v>1000</v>
      </c>
    </row>
    <row r="436" spans="1:11" ht="12.95" customHeight="1" x14ac:dyDescent="0.2">
      <c r="A436" s="167"/>
      <c r="B436" s="167">
        <v>85156</v>
      </c>
      <c r="C436" s="146"/>
      <c r="D436" s="188" t="s">
        <v>225</v>
      </c>
      <c r="E436" s="234">
        <f t="shared" ref="E436:K436" si="155">SUM(E437)</f>
        <v>2717500</v>
      </c>
      <c r="F436" s="234">
        <f t="shared" si="155"/>
        <v>0</v>
      </c>
      <c r="G436" s="234">
        <f t="shared" si="155"/>
        <v>2717500</v>
      </c>
      <c r="H436" s="234">
        <f t="shared" si="155"/>
        <v>54900</v>
      </c>
      <c r="I436" s="234">
        <f t="shared" si="155"/>
        <v>2772400</v>
      </c>
      <c r="J436" s="234">
        <f t="shared" si="155"/>
        <v>0</v>
      </c>
      <c r="K436" s="234">
        <f t="shared" si="155"/>
        <v>2772400</v>
      </c>
    </row>
    <row r="437" spans="1:11" s="127" customFormat="1" ht="22.5" customHeight="1" x14ac:dyDescent="0.2">
      <c r="A437" s="171"/>
      <c r="B437" s="207"/>
      <c r="C437" s="292" t="s">
        <v>294</v>
      </c>
      <c r="D437" s="293"/>
      <c r="E437" s="232">
        <f t="shared" ref="E437:K437" si="156">SUM(E438:E438)</f>
        <v>2717500</v>
      </c>
      <c r="F437" s="232">
        <f t="shared" si="156"/>
        <v>0</v>
      </c>
      <c r="G437" s="232">
        <f t="shared" si="156"/>
        <v>2717500</v>
      </c>
      <c r="H437" s="232">
        <f t="shared" si="156"/>
        <v>54900</v>
      </c>
      <c r="I437" s="232">
        <f t="shared" si="156"/>
        <v>2772400</v>
      </c>
      <c r="J437" s="232">
        <f t="shared" si="156"/>
        <v>0</v>
      </c>
      <c r="K437" s="232">
        <f t="shared" si="156"/>
        <v>2772400</v>
      </c>
    </row>
    <row r="438" spans="1:11" ht="12.95" customHeight="1" x14ac:dyDescent="0.2">
      <c r="A438" s="172"/>
      <c r="B438" s="172"/>
      <c r="C438" s="145">
        <v>4130</v>
      </c>
      <c r="D438" s="191" t="s">
        <v>226</v>
      </c>
      <c r="E438" s="242">
        <f>2704500+13000</f>
        <v>2717500</v>
      </c>
      <c r="F438" s="242"/>
      <c r="G438" s="242">
        <f>SUM(E438:F438)</f>
        <v>2717500</v>
      </c>
      <c r="H438" s="242">
        <f>54900</f>
        <v>54900</v>
      </c>
      <c r="I438" s="242">
        <f>SUM(G438:H438)</f>
        <v>2772400</v>
      </c>
      <c r="J438" s="242"/>
      <c r="K438" s="242">
        <f>SUM(I438:J438)</f>
        <v>2772400</v>
      </c>
    </row>
    <row r="439" spans="1:11" ht="12.95" customHeight="1" x14ac:dyDescent="0.2">
      <c r="A439" s="174"/>
      <c r="B439" s="174">
        <v>85195</v>
      </c>
      <c r="C439" s="148"/>
      <c r="D439" s="187" t="s">
        <v>65</v>
      </c>
      <c r="E439" s="243">
        <f t="shared" ref="E439:K439" si="157">SUM(E440)</f>
        <v>10000</v>
      </c>
      <c r="F439" s="243">
        <f t="shared" si="157"/>
        <v>0</v>
      </c>
      <c r="G439" s="243">
        <f t="shared" si="157"/>
        <v>10000</v>
      </c>
      <c r="H439" s="243">
        <f t="shared" si="157"/>
        <v>0</v>
      </c>
      <c r="I439" s="243">
        <f t="shared" si="157"/>
        <v>10000</v>
      </c>
      <c r="J439" s="243">
        <f t="shared" si="157"/>
        <v>0</v>
      </c>
      <c r="K439" s="243">
        <f t="shared" si="157"/>
        <v>10000</v>
      </c>
    </row>
    <row r="440" spans="1:11" s="127" customFormat="1" ht="24" customHeight="1" x14ac:dyDescent="0.2">
      <c r="A440" s="171"/>
      <c r="B440" s="207"/>
      <c r="C440" s="292" t="s">
        <v>294</v>
      </c>
      <c r="D440" s="293"/>
      <c r="E440" s="244">
        <f t="shared" ref="E440:K440" si="158">SUM(E441:E442)</f>
        <v>10000</v>
      </c>
      <c r="F440" s="244">
        <f t="shared" si="158"/>
        <v>0</v>
      </c>
      <c r="G440" s="244">
        <f t="shared" si="158"/>
        <v>10000</v>
      </c>
      <c r="H440" s="244">
        <f t="shared" si="158"/>
        <v>0</v>
      </c>
      <c r="I440" s="244">
        <f t="shared" si="158"/>
        <v>10000</v>
      </c>
      <c r="J440" s="244">
        <f t="shared" si="158"/>
        <v>0</v>
      </c>
      <c r="K440" s="244">
        <f t="shared" si="158"/>
        <v>10000</v>
      </c>
    </row>
    <row r="441" spans="1:11" ht="12.95" customHeight="1" x14ac:dyDescent="0.2">
      <c r="A441" s="172"/>
      <c r="B441" s="172"/>
      <c r="C441" s="144">
        <v>4210</v>
      </c>
      <c r="D441" s="185" t="s">
        <v>154</v>
      </c>
      <c r="E441" s="242">
        <v>8000</v>
      </c>
      <c r="F441" s="242"/>
      <c r="G441" s="242">
        <f>SUM(E441:F441)</f>
        <v>8000</v>
      </c>
      <c r="H441" s="242"/>
      <c r="I441" s="242">
        <f>SUM(G441:H441)</f>
        <v>8000</v>
      </c>
      <c r="J441" s="242"/>
      <c r="K441" s="242">
        <f>SUM(I441:J441)</f>
        <v>8000</v>
      </c>
    </row>
    <row r="442" spans="1:11" ht="12.95" customHeight="1" x14ac:dyDescent="0.2">
      <c r="A442" s="172"/>
      <c r="B442" s="172"/>
      <c r="C442" s="144">
        <v>4300</v>
      </c>
      <c r="D442" s="185" t="s">
        <v>145</v>
      </c>
      <c r="E442" s="242">
        <v>2000</v>
      </c>
      <c r="F442" s="242"/>
      <c r="G442" s="242">
        <f>SUM(E442:F442)</f>
        <v>2000</v>
      </c>
      <c r="H442" s="242"/>
      <c r="I442" s="242">
        <f>SUM(G442:H442)</f>
        <v>2000</v>
      </c>
      <c r="J442" s="242"/>
      <c r="K442" s="242">
        <f>SUM(I442:J442)</f>
        <v>2000</v>
      </c>
    </row>
    <row r="443" spans="1:11" ht="12.95" customHeight="1" x14ac:dyDescent="0.2">
      <c r="A443" s="170">
        <v>852</v>
      </c>
      <c r="B443" s="170"/>
      <c r="C443" s="143"/>
      <c r="D443" s="189" t="s">
        <v>105</v>
      </c>
      <c r="E443" s="236">
        <f t="shared" ref="E443:K443" si="159">SUM(E444+E469+E499+E516+E531+E538+E592)</f>
        <v>15197241</v>
      </c>
      <c r="F443" s="236">
        <f t="shared" si="159"/>
        <v>800</v>
      </c>
      <c r="G443" s="236">
        <f t="shared" si="159"/>
        <v>15198041</v>
      </c>
      <c r="H443" s="236">
        <f t="shared" si="159"/>
        <v>93106</v>
      </c>
      <c r="I443" s="236">
        <f t="shared" si="159"/>
        <v>15291147</v>
      </c>
      <c r="J443" s="236">
        <f t="shared" si="159"/>
        <v>14273</v>
      </c>
      <c r="K443" s="236">
        <f t="shared" si="159"/>
        <v>15305420</v>
      </c>
    </row>
    <row r="444" spans="1:11" ht="12.95" customHeight="1" x14ac:dyDescent="0.2">
      <c r="A444" s="167"/>
      <c r="B444" s="167">
        <v>85201</v>
      </c>
      <c r="C444" s="146"/>
      <c r="D444" s="188" t="s">
        <v>227</v>
      </c>
      <c r="E444" s="234">
        <f t="shared" ref="E444:K444" si="160">SUM(E445+E451+E453+E456)</f>
        <v>1254186</v>
      </c>
      <c r="F444" s="234">
        <f t="shared" si="160"/>
        <v>0</v>
      </c>
      <c r="G444" s="234">
        <f t="shared" si="160"/>
        <v>1254186</v>
      </c>
      <c r="H444" s="234">
        <f t="shared" si="160"/>
        <v>24720</v>
      </c>
      <c r="I444" s="234">
        <f t="shared" si="160"/>
        <v>1278906</v>
      </c>
      <c r="J444" s="234">
        <f t="shared" si="160"/>
        <v>15290</v>
      </c>
      <c r="K444" s="234">
        <f t="shared" si="160"/>
        <v>1294196</v>
      </c>
    </row>
    <row r="445" spans="1:11" s="127" customFormat="1" ht="12.95" customHeight="1" x14ac:dyDescent="0.2">
      <c r="A445" s="171"/>
      <c r="B445" s="152"/>
      <c r="C445" s="299" t="s">
        <v>152</v>
      </c>
      <c r="D445" s="300"/>
      <c r="E445" s="232">
        <f t="shared" ref="E445:K445" si="161">SUM(E446:E450)</f>
        <v>590820</v>
      </c>
      <c r="F445" s="232">
        <f t="shared" si="161"/>
        <v>0</v>
      </c>
      <c r="G445" s="232">
        <f t="shared" si="161"/>
        <v>590820</v>
      </c>
      <c r="H445" s="232">
        <f t="shared" si="161"/>
        <v>0</v>
      </c>
      <c r="I445" s="232">
        <f t="shared" si="161"/>
        <v>590820</v>
      </c>
      <c r="J445" s="232">
        <f t="shared" si="161"/>
        <v>0</v>
      </c>
      <c r="K445" s="232">
        <f t="shared" si="161"/>
        <v>590820</v>
      </c>
    </row>
    <row r="446" spans="1:11" ht="12.95" customHeight="1" x14ac:dyDescent="0.2">
      <c r="A446" s="172"/>
      <c r="B446" s="172"/>
      <c r="C446" s="144">
        <v>4010</v>
      </c>
      <c r="D446" s="185" t="s">
        <v>176</v>
      </c>
      <c r="E446" s="233">
        <v>451243</v>
      </c>
      <c r="F446" s="233"/>
      <c r="G446" s="233">
        <f>SUM(E446:F446)</f>
        <v>451243</v>
      </c>
      <c r="H446" s="233"/>
      <c r="I446" s="233">
        <f>SUM(G446:H446)</f>
        <v>451243</v>
      </c>
      <c r="J446" s="233"/>
      <c r="K446" s="233">
        <f>SUM(I446:J446)</f>
        <v>451243</v>
      </c>
    </row>
    <row r="447" spans="1:11" ht="12.95" customHeight="1" x14ac:dyDescent="0.2">
      <c r="A447" s="172"/>
      <c r="B447" s="172"/>
      <c r="C447" s="144">
        <v>4040</v>
      </c>
      <c r="D447" s="185" t="s">
        <v>178</v>
      </c>
      <c r="E447" s="233">
        <v>35931</v>
      </c>
      <c r="F447" s="233"/>
      <c r="G447" s="233">
        <f>SUM(E447:F447)</f>
        <v>35931</v>
      </c>
      <c r="H447" s="233"/>
      <c r="I447" s="233">
        <f>SUM(G447:H447)</f>
        <v>35931</v>
      </c>
      <c r="J447" s="233"/>
      <c r="K447" s="233">
        <f>SUM(I447:J447)</f>
        <v>35931</v>
      </c>
    </row>
    <row r="448" spans="1:11" ht="12.95" customHeight="1" x14ac:dyDescent="0.2">
      <c r="A448" s="172"/>
      <c r="B448" s="172"/>
      <c r="C448" s="144">
        <v>4110</v>
      </c>
      <c r="D448" s="185" t="s">
        <v>179</v>
      </c>
      <c r="E448" s="233">
        <v>87847</v>
      </c>
      <c r="F448" s="233"/>
      <c r="G448" s="233">
        <f>SUM(E448:F448)</f>
        <v>87847</v>
      </c>
      <c r="H448" s="233"/>
      <c r="I448" s="233">
        <f>SUM(G448:H448)</f>
        <v>87847</v>
      </c>
      <c r="J448" s="233"/>
      <c r="K448" s="233">
        <f>SUM(I448:J448)</f>
        <v>87847</v>
      </c>
    </row>
    <row r="449" spans="1:11" ht="12.95" customHeight="1" x14ac:dyDescent="0.2">
      <c r="A449" s="172"/>
      <c r="B449" s="172"/>
      <c r="C449" s="144">
        <v>4120</v>
      </c>
      <c r="D449" s="185" t="s">
        <v>180</v>
      </c>
      <c r="E449" s="233">
        <v>12499</v>
      </c>
      <c r="F449" s="233"/>
      <c r="G449" s="233">
        <f>SUM(E449:F449)</f>
        <v>12499</v>
      </c>
      <c r="H449" s="233"/>
      <c r="I449" s="233">
        <f>SUM(G449:H449)</f>
        <v>12499</v>
      </c>
      <c r="J449" s="233"/>
      <c r="K449" s="233">
        <f>SUM(I449:J449)</f>
        <v>12499</v>
      </c>
    </row>
    <row r="450" spans="1:11" ht="12.95" customHeight="1" x14ac:dyDescent="0.2">
      <c r="A450" s="172"/>
      <c r="B450" s="172"/>
      <c r="C450" s="157">
        <v>4170</v>
      </c>
      <c r="D450" s="200" t="s">
        <v>153</v>
      </c>
      <c r="E450" s="233">
        <v>3300</v>
      </c>
      <c r="F450" s="233"/>
      <c r="G450" s="233">
        <f>SUM(E450:F450)</f>
        <v>3300</v>
      </c>
      <c r="H450" s="233"/>
      <c r="I450" s="233">
        <f>SUM(G450:H450)</f>
        <v>3300</v>
      </c>
      <c r="J450" s="233"/>
      <c r="K450" s="233">
        <f>SUM(I450:J450)</f>
        <v>3300</v>
      </c>
    </row>
    <row r="451" spans="1:11" s="127" customFormat="1" ht="12.95" customHeight="1" x14ac:dyDescent="0.2">
      <c r="A451" s="171"/>
      <c r="B451" s="152"/>
      <c r="C451" s="299" t="s">
        <v>167</v>
      </c>
      <c r="D451" s="300"/>
      <c r="E451" s="232">
        <f t="shared" ref="E451:K451" si="162">SUM(E452)</f>
        <v>140576</v>
      </c>
      <c r="F451" s="232">
        <f t="shared" si="162"/>
        <v>0</v>
      </c>
      <c r="G451" s="232">
        <f t="shared" si="162"/>
        <v>140576</v>
      </c>
      <c r="H451" s="232">
        <f t="shared" si="162"/>
        <v>0</v>
      </c>
      <c r="I451" s="232">
        <f t="shared" si="162"/>
        <v>140576</v>
      </c>
      <c r="J451" s="232">
        <f t="shared" si="162"/>
        <v>2290</v>
      </c>
      <c r="K451" s="232">
        <f t="shared" si="162"/>
        <v>142866</v>
      </c>
    </row>
    <row r="452" spans="1:11" ht="12.95" customHeight="1" x14ac:dyDescent="0.2">
      <c r="A452" s="172"/>
      <c r="B452" s="172"/>
      <c r="C452" s="145">
        <v>2320</v>
      </c>
      <c r="D452" s="192" t="s">
        <v>228</v>
      </c>
      <c r="E452" s="233">
        <v>140576</v>
      </c>
      <c r="F452" s="233"/>
      <c r="G452" s="233">
        <f>SUM(E452:F452)</f>
        <v>140576</v>
      </c>
      <c r="H452" s="233"/>
      <c r="I452" s="233">
        <f>SUM(G452:H452)</f>
        <v>140576</v>
      </c>
      <c r="J452" s="233">
        <v>2290</v>
      </c>
      <c r="K452" s="233">
        <f>SUM(I452:J452)</f>
        <v>142866</v>
      </c>
    </row>
    <row r="453" spans="1:11" s="127" customFormat="1" ht="12.95" customHeight="1" x14ac:dyDescent="0.2">
      <c r="A453" s="171"/>
      <c r="B453" s="152"/>
      <c r="C453" s="299" t="s">
        <v>150</v>
      </c>
      <c r="D453" s="300"/>
      <c r="E453" s="237">
        <f t="shared" ref="E453:K453" si="163">SUM(E454:E455)</f>
        <v>145662</v>
      </c>
      <c r="F453" s="237">
        <f t="shared" si="163"/>
        <v>0</v>
      </c>
      <c r="G453" s="237">
        <f t="shared" si="163"/>
        <v>145662</v>
      </c>
      <c r="H453" s="237">
        <f t="shared" si="163"/>
        <v>0</v>
      </c>
      <c r="I453" s="237">
        <f t="shared" si="163"/>
        <v>145662</v>
      </c>
      <c r="J453" s="237">
        <f t="shared" si="163"/>
        <v>0</v>
      </c>
      <c r="K453" s="237">
        <f t="shared" si="163"/>
        <v>145662</v>
      </c>
    </row>
    <row r="454" spans="1:11" ht="12.95" customHeight="1" x14ac:dyDescent="0.2">
      <c r="A454" s="172"/>
      <c r="B454" s="172"/>
      <c r="C454" s="145">
        <v>3020</v>
      </c>
      <c r="D454" s="192" t="s">
        <v>229</v>
      </c>
      <c r="E454" s="233">
        <v>565</v>
      </c>
      <c r="F454" s="233"/>
      <c r="G454" s="233">
        <f>SUM(E454:F454)</f>
        <v>565</v>
      </c>
      <c r="H454" s="233"/>
      <c r="I454" s="233">
        <f>SUM(G454:H454)</f>
        <v>565</v>
      </c>
      <c r="J454" s="233"/>
      <c r="K454" s="233">
        <f>SUM(I454:J454)</f>
        <v>565</v>
      </c>
    </row>
    <row r="455" spans="1:11" ht="12.95" customHeight="1" x14ac:dyDescent="0.2">
      <c r="A455" s="172"/>
      <c r="B455" s="172"/>
      <c r="C455" s="145">
        <v>3110</v>
      </c>
      <c r="D455" s="191" t="s">
        <v>230</v>
      </c>
      <c r="E455" s="233">
        <f>19585+125512</f>
        <v>145097</v>
      </c>
      <c r="F455" s="233"/>
      <c r="G455" s="233">
        <f>SUM(E455:F455)</f>
        <v>145097</v>
      </c>
      <c r="H455" s="233"/>
      <c r="I455" s="233">
        <f>SUM(G455:H455)</f>
        <v>145097</v>
      </c>
      <c r="J455" s="233"/>
      <c r="K455" s="233">
        <f>SUM(I455:J455)</f>
        <v>145097</v>
      </c>
    </row>
    <row r="456" spans="1:11" s="127" customFormat="1" ht="22.5" customHeight="1" x14ac:dyDescent="0.2">
      <c r="A456" s="171"/>
      <c r="B456" s="207"/>
      <c r="C456" s="292" t="s">
        <v>294</v>
      </c>
      <c r="D456" s="293"/>
      <c r="E456" s="232">
        <f t="shared" ref="E456:K456" si="164">SUM(E457:E468)</f>
        <v>377128</v>
      </c>
      <c r="F456" s="232">
        <f t="shared" si="164"/>
        <v>0</v>
      </c>
      <c r="G456" s="232">
        <f t="shared" si="164"/>
        <v>377128</v>
      </c>
      <c r="H456" s="232">
        <f t="shared" si="164"/>
        <v>24720</v>
      </c>
      <c r="I456" s="232">
        <f t="shared" si="164"/>
        <v>401848</v>
      </c>
      <c r="J456" s="232">
        <f t="shared" si="164"/>
        <v>13000</v>
      </c>
      <c r="K456" s="232">
        <f t="shared" si="164"/>
        <v>414848</v>
      </c>
    </row>
    <row r="457" spans="1:11" ht="12.95" customHeight="1" x14ac:dyDescent="0.2">
      <c r="A457" s="172"/>
      <c r="B457" s="172"/>
      <c r="C457" s="144">
        <v>4210</v>
      </c>
      <c r="D457" s="185" t="s">
        <v>154</v>
      </c>
      <c r="E457" s="233">
        <v>70303</v>
      </c>
      <c r="F457" s="233"/>
      <c r="G457" s="233">
        <f>SUM(E457:F457)</f>
        <v>70303</v>
      </c>
      <c r="H457" s="233"/>
      <c r="I457" s="233">
        <f>SUM(G457:H457)</f>
        <v>70303</v>
      </c>
      <c r="J457" s="233"/>
      <c r="K457" s="233">
        <f>SUM(I457:J457)</f>
        <v>70303</v>
      </c>
    </row>
    <row r="458" spans="1:11" ht="12.95" customHeight="1" x14ac:dyDescent="0.2">
      <c r="A458" s="172"/>
      <c r="B458" s="172"/>
      <c r="C458" s="144">
        <v>4230</v>
      </c>
      <c r="D458" s="192" t="s">
        <v>191</v>
      </c>
      <c r="E458" s="233">
        <v>7741</v>
      </c>
      <c r="F458" s="233"/>
      <c r="G458" s="233">
        <f t="shared" ref="G458:G468" si="165">SUM(E458:F458)</f>
        <v>7741</v>
      </c>
      <c r="H458" s="233"/>
      <c r="I458" s="233">
        <f t="shared" ref="I458:I468" si="166">SUM(G458:H458)</f>
        <v>7741</v>
      </c>
      <c r="J458" s="233"/>
      <c r="K458" s="233">
        <f t="shared" ref="K458:K468" si="167">SUM(I458:J458)</f>
        <v>7741</v>
      </c>
    </row>
    <row r="459" spans="1:11" ht="12.95" customHeight="1" x14ac:dyDescent="0.2">
      <c r="A459" s="172"/>
      <c r="B459" s="172"/>
      <c r="C459" s="144">
        <v>4260</v>
      </c>
      <c r="D459" s="192" t="s">
        <v>155</v>
      </c>
      <c r="E459" s="233">
        <v>13301</v>
      </c>
      <c r="F459" s="233"/>
      <c r="G459" s="233">
        <f t="shared" si="165"/>
        <v>13301</v>
      </c>
      <c r="H459" s="233"/>
      <c r="I459" s="233">
        <f t="shared" si="166"/>
        <v>13301</v>
      </c>
      <c r="J459" s="233"/>
      <c r="K459" s="233">
        <f t="shared" si="167"/>
        <v>13301</v>
      </c>
    </row>
    <row r="460" spans="1:11" ht="12.95" customHeight="1" x14ac:dyDescent="0.2">
      <c r="A460" s="172"/>
      <c r="B460" s="172"/>
      <c r="C460" s="144">
        <v>4270</v>
      </c>
      <c r="D460" s="185" t="s">
        <v>156</v>
      </c>
      <c r="E460" s="233">
        <v>11253</v>
      </c>
      <c r="F460" s="233"/>
      <c r="G460" s="233">
        <f t="shared" si="165"/>
        <v>11253</v>
      </c>
      <c r="H460" s="233"/>
      <c r="I460" s="233">
        <f t="shared" si="166"/>
        <v>11253</v>
      </c>
      <c r="J460" s="233"/>
      <c r="K460" s="233">
        <f t="shared" si="167"/>
        <v>11253</v>
      </c>
    </row>
    <row r="461" spans="1:11" ht="12.95" customHeight="1" x14ac:dyDescent="0.2">
      <c r="A461" s="172"/>
      <c r="B461" s="172"/>
      <c r="C461" s="144">
        <v>4280</v>
      </c>
      <c r="D461" s="191" t="s">
        <v>182</v>
      </c>
      <c r="E461" s="233">
        <v>565</v>
      </c>
      <c r="F461" s="233"/>
      <c r="G461" s="233">
        <f t="shared" si="165"/>
        <v>565</v>
      </c>
      <c r="H461" s="233"/>
      <c r="I461" s="233">
        <f t="shared" si="166"/>
        <v>565</v>
      </c>
      <c r="J461" s="233"/>
      <c r="K461" s="233">
        <f t="shared" si="167"/>
        <v>565</v>
      </c>
    </row>
    <row r="462" spans="1:11" ht="12.95" customHeight="1" x14ac:dyDescent="0.2">
      <c r="A462" s="172"/>
      <c r="B462" s="172"/>
      <c r="C462" s="144">
        <v>4300</v>
      </c>
      <c r="D462" s="185" t="s">
        <v>145</v>
      </c>
      <c r="E462" s="233">
        <v>235487</v>
      </c>
      <c r="F462" s="233"/>
      <c r="G462" s="233">
        <f t="shared" si="165"/>
        <v>235487</v>
      </c>
      <c r="H462" s="233">
        <f>24720</f>
        <v>24720</v>
      </c>
      <c r="I462" s="233">
        <f t="shared" si="166"/>
        <v>260207</v>
      </c>
      <c r="J462" s="233">
        <v>13000</v>
      </c>
      <c r="K462" s="233">
        <f t="shared" si="167"/>
        <v>273207</v>
      </c>
    </row>
    <row r="463" spans="1:11" ht="12.95" customHeight="1" x14ac:dyDescent="0.2">
      <c r="A463" s="172"/>
      <c r="B463" s="172"/>
      <c r="C463" s="144">
        <v>4360</v>
      </c>
      <c r="D463" s="185" t="s">
        <v>306</v>
      </c>
      <c r="E463" s="233">
        <v>6652</v>
      </c>
      <c r="F463" s="233"/>
      <c r="G463" s="233">
        <f t="shared" si="165"/>
        <v>6652</v>
      </c>
      <c r="H463" s="233"/>
      <c r="I463" s="233">
        <f t="shared" si="166"/>
        <v>6652</v>
      </c>
      <c r="J463" s="233"/>
      <c r="K463" s="233">
        <f t="shared" si="167"/>
        <v>6652</v>
      </c>
    </row>
    <row r="464" spans="1:11" ht="12.95" customHeight="1" x14ac:dyDescent="0.2">
      <c r="A464" s="172"/>
      <c r="B464" s="172"/>
      <c r="C464" s="145">
        <v>4410</v>
      </c>
      <c r="D464" s="191" t="s">
        <v>171</v>
      </c>
      <c r="E464" s="233">
        <v>3819</v>
      </c>
      <c r="F464" s="233"/>
      <c r="G464" s="233">
        <f t="shared" si="165"/>
        <v>3819</v>
      </c>
      <c r="H464" s="233"/>
      <c r="I464" s="233">
        <f t="shared" si="166"/>
        <v>3819</v>
      </c>
      <c r="J464" s="233"/>
      <c r="K464" s="233">
        <f t="shared" si="167"/>
        <v>3819</v>
      </c>
    </row>
    <row r="465" spans="1:11" ht="12.95" customHeight="1" x14ac:dyDescent="0.2">
      <c r="A465" s="172"/>
      <c r="B465" s="172"/>
      <c r="C465" s="144">
        <v>4430</v>
      </c>
      <c r="D465" s="185" t="s">
        <v>157</v>
      </c>
      <c r="E465" s="233">
        <v>4630</v>
      </c>
      <c r="F465" s="233"/>
      <c r="G465" s="233">
        <f t="shared" si="165"/>
        <v>4630</v>
      </c>
      <c r="H465" s="233"/>
      <c r="I465" s="233">
        <f t="shared" si="166"/>
        <v>4630</v>
      </c>
      <c r="J465" s="233"/>
      <c r="K465" s="233">
        <f t="shared" si="167"/>
        <v>4630</v>
      </c>
    </row>
    <row r="466" spans="1:11" ht="12.95" customHeight="1" x14ac:dyDescent="0.2">
      <c r="A466" s="172"/>
      <c r="B466" s="172"/>
      <c r="C466" s="145">
        <v>4440</v>
      </c>
      <c r="D466" s="191" t="s">
        <v>186</v>
      </c>
      <c r="E466" s="233">
        <v>18599</v>
      </c>
      <c r="F466" s="233"/>
      <c r="G466" s="233">
        <f t="shared" si="165"/>
        <v>18599</v>
      </c>
      <c r="H466" s="233"/>
      <c r="I466" s="233">
        <f t="shared" si="166"/>
        <v>18599</v>
      </c>
      <c r="J466" s="233"/>
      <c r="K466" s="233">
        <f t="shared" si="167"/>
        <v>18599</v>
      </c>
    </row>
    <row r="467" spans="1:11" ht="12.95" customHeight="1" x14ac:dyDescent="0.2">
      <c r="A467" s="172"/>
      <c r="B467" s="172"/>
      <c r="C467" s="145">
        <v>4480</v>
      </c>
      <c r="D467" s="191" t="s">
        <v>172</v>
      </c>
      <c r="E467" s="233">
        <v>359</v>
      </c>
      <c r="F467" s="233"/>
      <c r="G467" s="233">
        <f t="shared" si="165"/>
        <v>359</v>
      </c>
      <c r="H467" s="233"/>
      <c r="I467" s="233">
        <f t="shared" si="166"/>
        <v>359</v>
      </c>
      <c r="J467" s="233"/>
      <c r="K467" s="233">
        <f t="shared" si="167"/>
        <v>359</v>
      </c>
    </row>
    <row r="468" spans="1:11" x14ac:dyDescent="0.2">
      <c r="A468" s="172"/>
      <c r="B468" s="172"/>
      <c r="C468" s="145">
        <v>4700</v>
      </c>
      <c r="D468" s="185" t="s">
        <v>173</v>
      </c>
      <c r="E468" s="233">
        <v>4419</v>
      </c>
      <c r="F468" s="233"/>
      <c r="G468" s="233">
        <f t="shared" si="165"/>
        <v>4419</v>
      </c>
      <c r="H468" s="233"/>
      <c r="I468" s="233">
        <f t="shared" si="166"/>
        <v>4419</v>
      </c>
      <c r="J468" s="233"/>
      <c r="K468" s="233">
        <f t="shared" si="167"/>
        <v>4419</v>
      </c>
    </row>
    <row r="469" spans="1:11" ht="12.95" customHeight="1" x14ac:dyDescent="0.2">
      <c r="A469" s="167"/>
      <c r="B469" s="167">
        <v>85202</v>
      </c>
      <c r="C469" s="146"/>
      <c r="D469" s="188" t="s">
        <v>231</v>
      </c>
      <c r="E469" s="234">
        <f t="shared" ref="E469:K469" si="168">SUM(E470+E477+E479+E497)</f>
        <v>5718877</v>
      </c>
      <c r="F469" s="234">
        <f t="shared" si="168"/>
        <v>800</v>
      </c>
      <c r="G469" s="234">
        <f t="shared" si="168"/>
        <v>5719677</v>
      </c>
      <c r="H469" s="234">
        <f t="shared" si="168"/>
        <v>0</v>
      </c>
      <c r="I469" s="234">
        <f t="shared" si="168"/>
        <v>5719677</v>
      </c>
      <c r="J469" s="234">
        <f t="shared" si="168"/>
        <v>0</v>
      </c>
      <c r="K469" s="234">
        <f t="shared" si="168"/>
        <v>5719677</v>
      </c>
    </row>
    <row r="470" spans="1:11" s="127" customFormat="1" ht="12.95" customHeight="1" x14ac:dyDescent="0.2">
      <c r="A470" s="168"/>
      <c r="B470" s="152"/>
      <c r="C470" s="299" t="s">
        <v>152</v>
      </c>
      <c r="D470" s="300"/>
      <c r="E470" s="228">
        <f t="shared" ref="E470:K470" si="169">SUM(E471:E476)</f>
        <v>3893106</v>
      </c>
      <c r="F470" s="228">
        <f t="shared" si="169"/>
        <v>0</v>
      </c>
      <c r="G470" s="228">
        <f t="shared" si="169"/>
        <v>3893106</v>
      </c>
      <c r="H470" s="228">
        <f t="shared" si="169"/>
        <v>0</v>
      </c>
      <c r="I470" s="228">
        <f t="shared" si="169"/>
        <v>3893106</v>
      </c>
      <c r="J470" s="228">
        <f t="shared" si="169"/>
        <v>0</v>
      </c>
      <c r="K470" s="228">
        <f t="shared" si="169"/>
        <v>3893106</v>
      </c>
    </row>
    <row r="471" spans="1:11" ht="12.95" customHeight="1" x14ac:dyDescent="0.2">
      <c r="A471" s="157"/>
      <c r="B471" s="157"/>
      <c r="C471" s="144">
        <v>4010</v>
      </c>
      <c r="D471" s="185" t="s">
        <v>176</v>
      </c>
      <c r="E471" s="229">
        <f>1671551+1491193</f>
        <v>3162744</v>
      </c>
      <c r="F471" s="229"/>
      <c r="G471" s="229">
        <f t="shared" ref="G471:G476" si="170">SUM(E471:F471)</f>
        <v>3162744</v>
      </c>
      <c r="H471" s="229"/>
      <c r="I471" s="229">
        <f t="shared" ref="I471:I476" si="171">SUM(G471:H471)</f>
        <v>3162744</v>
      </c>
      <c r="J471" s="229"/>
      <c r="K471" s="229">
        <f t="shared" ref="K471:K476" si="172">SUM(I471:J471)</f>
        <v>3162744</v>
      </c>
    </row>
    <row r="472" spans="1:11" ht="12.95" customHeight="1" x14ac:dyDescent="0.2">
      <c r="A472" s="157"/>
      <c r="B472" s="157"/>
      <c r="C472" s="144">
        <v>4040</v>
      </c>
      <c r="D472" s="185" t="s">
        <v>178</v>
      </c>
      <c r="E472" s="229">
        <f>132922+97818</f>
        <v>230740</v>
      </c>
      <c r="F472" s="229"/>
      <c r="G472" s="229">
        <f t="shared" si="170"/>
        <v>230740</v>
      </c>
      <c r="H472" s="229"/>
      <c r="I472" s="229">
        <f t="shared" si="171"/>
        <v>230740</v>
      </c>
      <c r="J472" s="229"/>
      <c r="K472" s="229">
        <f t="shared" si="172"/>
        <v>230740</v>
      </c>
    </row>
    <row r="473" spans="1:11" ht="12.95" customHeight="1" x14ac:dyDescent="0.2">
      <c r="A473" s="157"/>
      <c r="B473" s="157"/>
      <c r="C473" s="144">
        <v>4110</v>
      </c>
      <c r="D473" s="185" t="s">
        <v>179</v>
      </c>
      <c r="E473" s="229">
        <f>270175+136668</f>
        <v>406843</v>
      </c>
      <c r="F473" s="229"/>
      <c r="G473" s="229">
        <f t="shared" si="170"/>
        <v>406843</v>
      </c>
      <c r="H473" s="229"/>
      <c r="I473" s="229">
        <f t="shared" si="171"/>
        <v>406843</v>
      </c>
      <c r="J473" s="229"/>
      <c r="K473" s="229">
        <f t="shared" si="172"/>
        <v>406843</v>
      </c>
    </row>
    <row r="474" spans="1:11" ht="12.95" customHeight="1" x14ac:dyDescent="0.2">
      <c r="A474" s="157"/>
      <c r="B474" s="157"/>
      <c r="C474" s="144">
        <v>4120</v>
      </c>
      <c r="D474" s="185" t="s">
        <v>180</v>
      </c>
      <c r="E474" s="229">
        <f>30245+28382</f>
        <v>58627</v>
      </c>
      <c r="F474" s="229"/>
      <c r="G474" s="229">
        <f t="shared" si="170"/>
        <v>58627</v>
      </c>
      <c r="H474" s="229"/>
      <c r="I474" s="229">
        <f t="shared" si="171"/>
        <v>58627</v>
      </c>
      <c r="J474" s="229"/>
      <c r="K474" s="229">
        <f t="shared" si="172"/>
        <v>58627</v>
      </c>
    </row>
    <row r="475" spans="1:11" ht="12.95" customHeight="1" x14ac:dyDescent="0.2">
      <c r="A475" s="157"/>
      <c r="B475" s="157"/>
      <c r="C475" s="144">
        <v>4170</v>
      </c>
      <c r="D475" s="192" t="s">
        <v>153</v>
      </c>
      <c r="E475" s="229">
        <f>16943</f>
        <v>16943</v>
      </c>
      <c r="F475" s="229"/>
      <c r="G475" s="229">
        <f t="shared" si="170"/>
        <v>16943</v>
      </c>
      <c r="H475" s="229"/>
      <c r="I475" s="229">
        <f t="shared" si="171"/>
        <v>16943</v>
      </c>
      <c r="J475" s="229"/>
      <c r="K475" s="229">
        <f t="shared" si="172"/>
        <v>16943</v>
      </c>
    </row>
    <row r="476" spans="1:11" ht="12.95" customHeight="1" x14ac:dyDescent="0.2">
      <c r="A476" s="157"/>
      <c r="B476" s="157"/>
      <c r="C476" s="144">
        <v>4780</v>
      </c>
      <c r="D476" s="185" t="s">
        <v>234</v>
      </c>
      <c r="E476" s="229">
        <f>17209</f>
        <v>17209</v>
      </c>
      <c r="F476" s="229"/>
      <c r="G476" s="229">
        <f t="shared" si="170"/>
        <v>17209</v>
      </c>
      <c r="H476" s="229"/>
      <c r="I476" s="229">
        <f t="shared" si="171"/>
        <v>17209</v>
      </c>
      <c r="J476" s="229"/>
      <c r="K476" s="229">
        <f t="shared" si="172"/>
        <v>17209</v>
      </c>
    </row>
    <row r="477" spans="1:11" s="127" customFormat="1" ht="12.95" customHeight="1" x14ac:dyDescent="0.2">
      <c r="A477" s="168"/>
      <c r="B477" s="152"/>
      <c r="C477" s="299" t="s">
        <v>150</v>
      </c>
      <c r="D477" s="300"/>
      <c r="E477" s="228">
        <f t="shared" ref="E477:K477" si="173">SUM(E478)</f>
        <v>15703</v>
      </c>
      <c r="F477" s="228">
        <f t="shared" si="173"/>
        <v>0</v>
      </c>
      <c r="G477" s="228">
        <f t="shared" si="173"/>
        <v>15703</v>
      </c>
      <c r="H477" s="228">
        <f t="shared" si="173"/>
        <v>0</v>
      </c>
      <c r="I477" s="228">
        <f t="shared" si="173"/>
        <v>15703</v>
      </c>
      <c r="J477" s="228">
        <f t="shared" si="173"/>
        <v>0</v>
      </c>
      <c r="K477" s="228">
        <f t="shared" si="173"/>
        <v>15703</v>
      </c>
    </row>
    <row r="478" spans="1:11" ht="12.95" customHeight="1" x14ac:dyDescent="0.2">
      <c r="A478" s="157"/>
      <c r="B478" s="157"/>
      <c r="C478" s="144">
        <v>3020</v>
      </c>
      <c r="D478" s="192" t="s">
        <v>181</v>
      </c>
      <c r="E478" s="229">
        <f>7189+8514</f>
        <v>15703</v>
      </c>
      <c r="F478" s="229"/>
      <c r="G478" s="229">
        <f>SUM(E478:F478)</f>
        <v>15703</v>
      </c>
      <c r="H478" s="229"/>
      <c r="I478" s="229">
        <f>SUM(G478:H478)</f>
        <v>15703</v>
      </c>
      <c r="J478" s="229"/>
      <c r="K478" s="229">
        <f>SUM(I478:J478)</f>
        <v>15703</v>
      </c>
    </row>
    <row r="479" spans="1:11" s="259" customFormat="1" ht="25.5" customHeight="1" x14ac:dyDescent="0.2">
      <c r="A479" s="256"/>
      <c r="B479" s="257"/>
      <c r="C479" s="292" t="s">
        <v>294</v>
      </c>
      <c r="D479" s="293"/>
      <c r="E479" s="258">
        <f t="shared" ref="E479:K479" si="174">SUM(E480:E496)</f>
        <v>1790068</v>
      </c>
      <c r="F479" s="258">
        <f t="shared" si="174"/>
        <v>800</v>
      </c>
      <c r="G479" s="258">
        <f t="shared" si="174"/>
        <v>1790868</v>
      </c>
      <c r="H479" s="258">
        <f t="shared" si="174"/>
        <v>0</v>
      </c>
      <c r="I479" s="258">
        <f t="shared" si="174"/>
        <v>1790868</v>
      </c>
      <c r="J479" s="258">
        <f t="shared" si="174"/>
        <v>0</v>
      </c>
      <c r="K479" s="258">
        <f t="shared" si="174"/>
        <v>1790868</v>
      </c>
    </row>
    <row r="480" spans="1:11" ht="12.95" customHeight="1" x14ac:dyDescent="0.2">
      <c r="A480" s="157"/>
      <c r="B480" s="157"/>
      <c r="C480" s="144">
        <v>4210</v>
      </c>
      <c r="D480" s="192" t="s">
        <v>154</v>
      </c>
      <c r="E480" s="229">
        <f>277022+75222</f>
        <v>352244</v>
      </c>
      <c r="F480" s="229">
        <v>800</v>
      </c>
      <c r="G480" s="229">
        <f>SUM(E480:F480)</f>
        <v>353044</v>
      </c>
      <c r="H480" s="229"/>
      <c r="I480" s="229">
        <f>SUM(G480:H480)</f>
        <v>353044</v>
      </c>
      <c r="J480" s="229"/>
      <c r="K480" s="229">
        <f>SUM(I480:J480)</f>
        <v>353044</v>
      </c>
    </row>
    <row r="481" spans="1:11" ht="12.95" customHeight="1" x14ac:dyDescent="0.2">
      <c r="A481" s="157"/>
      <c r="B481" s="157"/>
      <c r="C481" s="144">
        <v>4220</v>
      </c>
      <c r="D481" s="192" t="s">
        <v>200</v>
      </c>
      <c r="E481" s="229">
        <f>266651+278140</f>
        <v>544791</v>
      </c>
      <c r="F481" s="229"/>
      <c r="G481" s="229">
        <f t="shared" ref="G481:G496" si="175">SUM(E481:F481)</f>
        <v>544791</v>
      </c>
      <c r="H481" s="229"/>
      <c r="I481" s="229">
        <f t="shared" ref="I481:I496" si="176">SUM(G481:H481)</f>
        <v>544791</v>
      </c>
      <c r="J481" s="229"/>
      <c r="K481" s="229">
        <f t="shared" ref="K481:K496" si="177">SUM(I481:J481)</f>
        <v>544791</v>
      </c>
    </row>
    <row r="482" spans="1:11" ht="12.95" customHeight="1" x14ac:dyDescent="0.2">
      <c r="A482" s="157"/>
      <c r="B482" s="157"/>
      <c r="C482" s="144">
        <v>4230</v>
      </c>
      <c r="D482" s="192" t="s">
        <v>191</v>
      </c>
      <c r="E482" s="229">
        <f>41902+11300</f>
        <v>53202</v>
      </c>
      <c r="F482" s="229"/>
      <c r="G482" s="229">
        <f t="shared" si="175"/>
        <v>53202</v>
      </c>
      <c r="H482" s="229"/>
      <c r="I482" s="229">
        <f t="shared" si="176"/>
        <v>53202</v>
      </c>
      <c r="J482" s="229"/>
      <c r="K482" s="229">
        <f t="shared" si="177"/>
        <v>53202</v>
      </c>
    </row>
    <row r="483" spans="1:11" ht="12.95" customHeight="1" x14ac:dyDescent="0.2">
      <c r="A483" s="157"/>
      <c r="B483" s="157"/>
      <c r="C483" s="144">
        <v>4260</v>
      </c>
      <c r="D483" s="185" t="s">
        <v>155</v>
      </c>
      <c r="E483" s="229">
        <f>104755+222746</f>
        <v>327501</v>
      </c>
      <c r="F483" s="229"/>
      <c r="G483" s="229">
        <f t="shared" si="175"/>
        <v>327501</v>
      </c>
      <c r="H483" s="229"/>
      <c r="I483" s="229">
        <f t="shared" si="176"/>
        <v>327501</v>
      </c>
      <c r="J483" s="229"/>
      <c r="K483" s="229">
        <f t="shared" si="177"/>
        <v>327501</v>
      </c>
    </row>
    <row r="484" spans="1:11" ht="12.95" customHeight="1" x14ac:dyDescent="0.2">
      <c r="A484" s="157"/>
      <c r="B484" s="157"/>
      <c r="C484" s="144">
        <v>4270</v>
      </c>
      <c r="D484" s="185" t="s">
        <v>156</v>
      </c>
      <c r="E484" s="229">
        <f>25814+12593</f>
        <v>38407</v>
      </c>
      <c r="F484" s="229"/>
      <c r="G484" s="229">
        <f t="shared" si="175"/>
        <v>38407</v>
      </c>
      <c r="H484" s="229">
        <f>-1845</f>
        <v>-1845</v>
      </c>
      <c r="I484" s="229">
        <f t="shared" si="176"/>
        <v>36562</v>
      </c>
      <c r="J484" s="229"/>
      <c r="K484" s="229">
        <f t="shared" si="177"/>
        <v>36562</v>
      </c>
    </row>
    <row r="485" spans="1:11" ht="12.95" customHeight="1" x14ac:dyDescent="0.2">
      <c r="A485" s="157"/>
      <c r="B485" s="157"/>
      <c r="C485" s="144">
        <v>4280</v>
      </c>
      <c r="D485" s="191" t="s">
        <v>182</v>
      </c>
      <c r="E485" s="229">
        <f>4462+3500</f>
        <v>7962</v>
      </c>
      <c r="F485" s="229"/>
      <c r="G485" s="229">
        <f t="shared" si="175"/>
        <v>7962</v>
      </c>
      <c r="H485" s="229"/>
      <c r="I485" s="229">
        <f t="shared" si="176"/>
        <v>7962</v>
      </c>
      <c r="J485" s="229"/>
      <c r="K485" s="229">
        <f t="shared" si="177"/>
        <v>7962</v>
      </c>
    </row>
    <row r="486" spans="1:11" ht="12.95" customHeight="1" x14ac:dyDescent="0.2">
      <c r="A486" s="157"/>
      <c r="B486" s="157"/>
      <c r="C486" s="144">
        <v>4300</v>
      </c>
      <c r="D486" s="185" t="s">
        <v>145</v>
      </c>
      <c r="E486" s="229">
        <f>130326+129685</f>
        <v>260011</v>
      </c>
      <c r="F486" s="229"/>
      <c r="G486" s="229">
        <f t="shared" si="175"/>
        <v>260011</v>
      </c>
      <c r="H486" s="229"/>
      <c r="I486" s="229">
        <f t="shared" si="176"/>
        <v>260011</v>
      </c>
      <c r="J486" s="229"/>
      <c r="K486" s="229">
        <f t="shared" si="177"/>
        <v>260011</v>
      </c>
    </row>
    <row r="487" spans="1:11" ht="12.95" customHeight="1" x14ac:dyDescent="0.2">
      <c r="A487" s="157"/>
      <c r="B487" s="157"/>
      <c r="C487" s="144">
        <v>4360</v>
      </c>
      <c r="D487" s="185" t="s">
        <v>293</v>
      </c>
      <c r="E487" s="229">
        <f>6337+2820</f>
        <v>9157</v>
      </c>
      <c r="F487" s="229"/>
      <c r="G487" s="229">
        <f t="shared" si="175"/>
        <v>9157</v>
      </c>
      <c r="H487" s="229"/>
      <c r="I487" s="229">
        <f t="shared" si="176"/>
        <v>9157</v>
      </c>
      <c r="J487" s="229"/>
      <c r="K487" s="229">
        <f t="shared" si="177"/>
        <v>9157</v>
      </c>
    </row>
    <row r="488" spans="1:11" ht="12.95" customHeight="1" x14ac:dyDescent="0.2">
      <c r="A488" s="157"/>
      <c r="B488" s="157"/>
      <c r="C488" s="144">
        <v>4390</v>
      </c>
      <c r="D488" s="185" t="s">
        <v>170</v>
      </c>
      <c r="E488" s="229">
        <f>409</f>
        <v>409</v>
      </c>
      <c r="F488" s="229"/>
      <c r="G488" s="229">
        <f t="shared" si="175"/>
        <v>409</v>
      </c>
      <c r="H488" s="229"/>
      <c r="I488" s="229">
        <f t="shared" si="176"/>
        <v>409</v>
      </c>
      <c r="J488" s="229"/>
      <c r="K488" s="229">
        <f t="shared" si="177"/>
        <v>409</v>
      </c>
    </row>
    <row r="489" spans="1:11" ht="12.95" customHeight="1" x14ac:dyDescent="0.2">
      <c r="A489" s="157"/>
      <c r="B489" s="157"/>
      <c r="C489" s="145">
        <v>4410</v>
      </c>
      <c r="D489" s="191" t="s">
        <v>171</v>
      </c>
      <c r="E489" s="229">
        <f>694+400</f>
        <v>1094</v>
      </c>
      <c r="F489" s="229"/>
      <c r="G489" s="229">
        <f t="shared" si="175"/>
        <v>1094</v>
      </c>
      <c r="H489" s="229"/>
      <c r="I489" s="229">
        <f t="shared" si="176"/>
        <v>1094</v>
      </c>
      <c r="J489" s="229"/>
      <c r="K489" s="229">
        <f t="shared" si="177"/>
        <v>1094</v>
      </c>
    </row>
    <row r="490" spans="1:11" ht="12.95" customHeight="1" x14ac:dyDescent="0.2">
      <c r="A490" s="157"/>
      <c r="B490" s="157"/>
      <c r="C490" s="144">
        <v>4430</v>
      </c>
      <c r="D490" s="185" t="s">
        <v>157</v>
      </c>
      <c r="E490" s="229">
        <f>10476+9824</f>
        <v>20300</v>
      </c>
      <c r="F490" s="229"/>
      <c r="G490" s="229">
        <f t="shared" si="175"/>
        <v>20300</v>
      </c>
      <c r="H490" s="229">
        <f>-66</f>
        <v>-66</v>
      </c>
      <c r="I490" s="229">
        <f t="shared" si="176"/>
        <v>20234</v>
      </c>
      <c r="J490" s="229"/>
      <c r="K490" s="229">
        <f t="shared" si="177"/>
        <v>20234</v>
      </c>
    </row>
    <row r="491" spans="1:11" ht="12.95" customHeight="1" x14ac:dyDescent="0.2">
      <c r="A491" s="157"/>
      <c r="B491" s="157"/>
      <c r="C491" s="145">
        <v>4440</v>
      </c>
      <c r="D491" s="191" t="s">
        <v>186</v>
      </c>
      <c r="E491" s="229">
        <f>90646+69400</f>
        <v>160046</v>
      </c>
      <c r="F491" s="229"/>
      <c r="G491" s="229">
        <f t="shared" si="175"/>
        <v>160046</v>
      </c>
      <c r="H491" s="229"/>
      <c r="I491" s="229">
        <f t="shared" si="176"/>
        <v>160046</v>
      </c>
      <c r="J491" s="229"/>
      <c r="K491" s="229">
        <f t="shared" si="177"/>
        <v>160046</v>
      </c>
    </row>
    <row r="492" spans="1:11" ht="12.95" customHeight="1" x14ac:dyDescent="0.2">
      <c r="A492" s="157"/>
      <c r="B492" s="157"/>
      <c r="C492" s="144">
        <v>4480</v>
      </c>
      <c r="D492" s="192" t="s">
        <v>172</v>
      </c>
      <c r="E492" s="229">
        <f>2907+2000</f>
        <v>4907</v>
      </c>
      <c r="F492" s="229"/>
      <c r="G492" s="229">
        <f t="shared" si="175"/>
        <v>4907</v>
      </c>
      <c r="H492" s="229"/>
      <c r="I492" s="229">
        <f t="shared" si="176"/>
        <v>4907</v>
      </c>
      <c r="J492" s="229"/>
      <c r="K492" s="229">
        <f t="shared" si="177"/>
        <v>4907</v>
      </c>
    </row>
    <row r="493" spans="1:11" ht="12.95" customHeight="1" x14ac:dyDescent="0.2">
      <c r="A493" s="157"/>
      <c r="B493" s="157"/>
      <c r="C493" s="144">
        <v>4490</v>
      </c>
      <c r="D493" s="192" t="s">
        <v>232</v>
      </c>
      <c r="E493" s="229">
        <f>550</f>
        <v>550</v>
      </c>
      <c r="F493" s="229"/>
      <c r="G493" s="229">
        <f t="shared" si="175"/>
        <v>550</v>
      </c>
      <c r="H493" s="229"/>
      <c r="I493" s="229">
        <f t="shared" si="176"/>
        <v>550</v>
      </c>
      <c r="J493" s="229"/>
      <c r="K493" s="229">
        <f t="shared" si="177"/>
        <v>550</v>
      </c>
    </row>
    <row r="494" spans="1:11" ht="12.95" customHeight="1" x14ac:dyDescent="0.2">
      <c r="A494" s="157"/>
      <c r="B494" s="157"/>
      <c r="C494" s="144">
        <v>4520</v>
      </c>
      <c r="D494" s="192" t="s">
        <v>233</v>
      </c>
      <c r="E494" s="229">
        <f>4417</f>
        <v>4417</v>
      </c>
      <c r="F494" s="229"/>
      <c r="G494" s="229">
        <f t="shared" si="175"/>
        <v>4417</v>
      </c>
      <c r="H494" s="229"/>
      <c r="I494" s="229">
        <f t="shared" si="176"/>
        <v>4417</v>
      </c>
      <c r="J494" s="229"/>
      <c r="K494" s="229">
        <f t="shared" si="177"/>
        <v>4417</v>
      </c>
    </row>
    <row r="495" spans="1:11" ht="12.95" customHeight="1" x14ac:dyDescent="0.2">
      <c r="A495" s="157"/>
      <c r="B495" s="157"/>
      <c r="C495" s="144">
        <v>4610</v>
      </c>
      <c r="D495" s="192" t="s">
        <v>164</v>
      </c>
      <c r="E495" s="229"/>
      <c r="F495" s="229"/>
      <c r="G495" s="229"/>
      <c r="H495" s="229">
        <v>66</v>
      </c>
      <c r="I495" s="229">
        <f t="shared" si="176"/>
        <v>66</v>
      </c>
      <c r="J495" s="229"/>
      <c r="K495" s="229">
        <f t="shared" si="177"/>
        <v>66</v>
      </c>
    </row>
    <row r="496" spans="1:11" ht="12.95" customHeight="1" x14ac:dyDescent="0.2">
      <c r="A496" s="157"/>
      <c r="B496" s="157"/>
      <c r="C496" s="144">
        <v>4700</v>
      </c>
      <c r="D496" s="185" t="s">
        <v>173</v>
      </c>
      <c r="E496" s="229">
        <f>3055+2015</f>
        <v>5070</v>
      </c>
      <c r="F496" s="229"/>
      <c r="G496" s="229">
        <f t="shared" si="175"/>
        <v>5070</v>
      </c>
      <c r="H496" s="229">
        <f>1845</f>
        <v>1845</v>
      </c>
      <c r="I496" s="229">
        <f t="shared" si="176"/>
        <v>6915</v>
      </c>
      <c r="J496" s="229"/>
      <c r="K496" s="229">
        <f t="shared" si="177"/>
        <v>6915</v>
      </c>
    </row>
    <row r="497" spans="1:11" ht="12.95" customHeight="1" x14ac:dyDescent="0.2">
      <c r="A497" s="157"/>
      <c r="B497" s="157"/>
      <c r="C497" s="297" t="s">
        <v>158</v>
      </c>
      <c r="D497" s="298"/>
      <c r="E497" s="235">
        <f t="shared" ref="E497:K497" si="178">SUM(E498)</f>
        <v>20000</v>
      </c>
      <c r="F497" s="235">
        <f t="shared" si="178"/>
        <v>0</v>
      </c>
      <c r="G497" s="235">
        <f t="shared" si="178"/>
        <v>20000</v>
      </c>
      <c r="H497" s="235">
        <f t="shared" si="178"/>
        <v>0</v>
      </c>
      <c r="I497" s="235">
        <f t="shared" si="178"/>
        <v>20000</v>
      </c>
      <c r="J497" s="235">
        <f t="shared" si="178"/>
        <v>0</v>
      </c>
      <c r="K497" s="235">
        <f t="shared" si="178"/>
        <v>20000</v>
      </c>
    </row>
    <row r="498" spans="1:11" ht="12.95" customHeight="1" x14ac:dyDescent="0.2">
      <c r="A498" s="157"/>
      <c r="B498" s="157"/>
      <c r="C498" s="144">
        <v>6060</v>
      </c>
      <c r="D498" s="185" t="s">
        <v>174</v>
      </c>
      <c r="E498" s="229">
        <v>20000</v>
      </c>
      <c r="F498" s="229"/>
      <c r="G498" s="229">
        <f>SUM(E498:F498)</f>
        <v>20000</v>
      </c>
      <c r="H498" s="229"/>
      <c r="I498" s="229">
        <f>SUM(G498:H498)</f>
        <v>20000</v>
      </c>
      <c r="J498" s="229"/>
      <c r="K498" s="229">
        <f>SUM(I498:J498)</f>
        <v>20000</v>
      </c>
    </row>
    <row r="499" spans="1:11" ht="13.5" customHeight="1" x14ac:dyDescent="0.2">
      <c r="A499" s="167"/>
      <c r="B499" s="167">
        <v>85203</v>
      </c>
      <c r="C499" s="146"/>
      <c r="D499" s="194" t="s">
        <v>110</v>
      </c>
      <c r="E499" s="234">
        <f t="shared" ref="E499:K499" si="179">SUM(E500+E506)</f>
        <v>324000</v>
      </c>
      <c r="F499" s="234">
        <f t="shared" si="179"/>
        <v>0</v>
      </c>
      <c r="G499" s="234">
        <f t="shared" si="179"/>
        <v>324000</v>
      </c>
      <c r="H499" s="234">
        <f t="shared" si="179"/>
        <v>18841</v>
      </c>
      <c r="I499" s="234">
        <f t="shared" si="179"/>
        <v>342841</v>
      </c>
      <c r="J499" s="234">
        <f t="shared" si="179"/>
        <v>0</v>
      </c>
      <c r="K499" s="234">
        <f t="shared" si="179"/>
        <v>342841</v>
      </c>
    </row>
    <row r="500" spans="1:11" s="127" customFormat="1" ht="12.95" customHeight="1" x14ac:dyDescent="0.2">
      <c r="A500" s="168"/>
      <c r="B500" s="152"/>
      <c r="C500" s="299" t="s">
        <v>152</v>
      </c>
      <c r="D500" s="300"/>
      <c r="E500" s="228">
        <f>SUM(E501:E504)</f>
        <v>227927</v>
      </c>
      <c r="F500" s="228">
        <f>SUM(F501:F504)</f>
        <v>0</v>
      </c>
      <c r="G500" s="228">
        <f>SUM(G501:G505)</f>
        <v>227927</v>
      </c>
      <c r="H500" s="228">
        <f>SUM(H501:H505)</f>
        <v>18841</v>
      </c>
      <c r="I500" s="228">
        <f>SUM(I501:I505)</f>
        <v>246768</v>
      </c>
      <c r="J500" s="228">
        <f>SUM(J501:J505)</f>
        <v>0</v>
      </c>
      <c r="K500" s="228">
        <f>SUM(K501:K505)</f>
        <v>246768</v>
      </c>
    </row>
    <row r="501" spans="1:11" ht="12.95" customHeight="1" x14ac:dyDescent="0.2">
      <c r="A501" s="157"/>
      <c r="B501" s="157"/>
      <c r="C501" s="144">
        <v>4010</v>
      </c>
      <c r="D501" s="185" t="s">
        <v>176</v>
      </c>
      <c r="E501" s="229">
        <v>173673</v>
      </c>
      <c r="F501" s="229"/>
      <c r="G501" s="229">
        <f>SUM(E501:F501)</f>
        <v>173673</v>
      </c>
      <c r="H501" s="229">
        <f>14985</f>
        <v>14985</v>
      </c>
      <c r="I501" s="229">
        <f>SUM(G501:H501)</f>
        <v>188658</v>
      </c>
      <c r="J501" s="229"/>
      <c r="K501" s="229">
        <f>SUM(I501:J501)</f>
        <v>188658</v>
      </c>
    </row>
    <row r="502" spans="1:11" ht="12.95" customHeight="1" x14ac:dyDescent="0.2">
      <c r="A502" s="157"/>
      <c r="B502" s="157"/>
      <c r="C502" s="144">
        <v>4040</v>
      </c>
      <c r="D502" s="185" t="s">
        <v>178</v>
      </c>
      <c r="E502" s="229">
        <v>15650</v>
      </c>
      <c r="F502" s="229"/>
      <c r="G502" s="229">
        <f>SUM(E502:F502)</f>
        <v>15650</v>
      </c>
      <c r="H502" s="229">
        <f>18841-18841</f>
        <v>0</v>
      </c>
      <c r="I502" s="229">
        <f>SUM(G502:H502)</f>
        <v>15650</v>
      </c>
      <c r="J502" s="229"/>
      <c r="K502" s="229">
        <f>SUM(I502:J502)</f>
        <v>15650</v>
      </c>
    </row>
    <row r="503" spans="1:11" ht="12.95" customHeight="1" x14ac:dyDescent="0.2">
      <c r="A503" s="157"/>
      <c r="B503" s="157"/>
      <c r="C503" s="144">
        <v>4110</v>
      </c>
      <c r="D503" s="185" t="s">
        <v>179</v>
      </c>
      <c r="E503" s="229">
        <v>34438</v>
      </c>
      <c r="F503" s="229"/>
      <c r="G503" s="229">
        <f>SUM(E503:F503)</f>
        <v>34438</v>
      </c>
      <c r="H503" s="229">
        <f>2722</f>
        <v>2722</v>
      </c>
      <c r="I503" s="229">
        <f>SUM(G503:H503)</f>
        <v>37160</v>
      </c>
      <c r="J503" s="229"/>
      <c r="K503" s="229">
        <f>SUM(I503:J503)</f>
        <v>37160</v>
      </c>
    </row>
    <row r="504" spans="1:11" ht="12.95" customHeight="1" x14ac:dyDescent="0.2">
      <c r="A504" s="157"/>
      <c r="B504" s="157"/>
      <c r="C504" s="144">
        <v>4120</v>
      </c>
      <c r="D504" s="185" t="s">
        <v>180</v>
      </c>
      <c r="E504" s="229">
        <v>4166</v>
      </c>
      <c r="F504" s="229"/>
      <c r="G504" s="229">
        <f>SUM(E504:F504)</f>
        <v>4166</v>
      </c>
      <c r="H504" s="229">
        <f>364</f>
        <v>364</v>
      </c>
      <c r="I504" s="229">
        <f>SUM(G504:H504)</f>
        <v>4530</v>
      </c>
      <c r="J504" s="229"/>
      <c r="K504" s="229">
        <f>SUM(I504:J504)</f>
        <v>4530</v>
      </c>
    </row>
    <row r="505" spans="1:11" ht="12.95" customHeight="1" x14ac:dyDescent="0.2">
      <c r="A505" s="157"/>
      <c r="B505" s="157"/>
      <c r="C505" s="157">
        <v>4170</v>
      </c>
      <c r="D505" s="200" t="s">
        <v>153</v>
      </c>
      <c r="E505" s="229"/>
      <c r="F505" s="229"/>
      <c r="G505" s="229"/>
      <c r="H505" s="229">
        <v>770</v>
      </c>
      <c r="I505" s="229">
        <f>SUM(G505:H505)</f>
        <v>770</v>
      </c>
      <c r="J505" s="229"/>
      <c r="K505" s="229">
        <f>SUM(I505:J505)</f>
        <v>770</v>
      </c>
    </row>
    <row r="506" spans="1:11" s="127" customFormat="1" ht="27" customHeight="1" x14ac:dyDescent="0.2">
      <c r="A506" s="168"/>
      <c r="B506" s="207"/>
      <c r="C506" s="292" t="s">
        <v>294</v>
      </c>
      <c r="D506" s="293"/>
      <c r="E506" s="228">
        <f t="shared" ref="E506:K506" si="180">SUM(E507:E515)</f>
        <v>96073</v>
      </c>
      <c r="F506" s="228">
        <f t="shared" si="180"/>
        <v>0</v>
      </c>
      <c r="G506" s="228">
        <f t="shared" si="180"/>
        <v>96073</v>
      </c>
      <c r="H506" s="228">
        <f t="shared" si="180"/>
        <v>0</v>
      </c>
      <c r="I506" s="228">
        <f t="shared" si="180"/>
        <v>96073</v>
      </c>
      <c r="J506" s="228">
        <f t="shared" si="180"/>
        <v>0</v>
      </c>
      <c r="K506" s="228">
        <f t="shared" si="180"/>
        <v>96073</v>
      </c>
    </row>
    <row r="507" spans="1:11" ht="12.95" customHeight="1" x14ac:dyDescent="0.2">
      <c r="A507" s="157"/>
      <c r="B507" s="157"/>
      <c r="C507" s="144">
        <v>4210</v>
      </c>
      <c r="D507" s="192" t="s">
        <v>154</v>
      </c>
      <c r="E507" s="229">
        <v>27641</v>
      </c>
      <c r="F507" s="229"/>
      <c r="G507" s="229">
        <f>SUM(E507:F507)</f>
        <v>27641</v>
      </c>
      <c r="H507" s="229"/>
      <c r="I507" s="229">
        <f>SUM(G507:H507)</f>
        <v>27641</v>
      </c>
      <c r="J507" s="229"/>
      <c r="K507" s="229">
        <f>SUM(I507:J507)</f>
        <v>27641</v>
      </c>
    </row>
    <row r="508" spans="1:11" ht="12.95" customHeight="1" x14ac:dyDescent="0.2">
      <c r="A508" s="157"/>
      <c r="B508" s="157"/>
      <c r="C508" s="144">
        <v>4280</v>
      </c>
      <c r="D508" s="191" t="s">
        <v>182</v>
      </c>
      <c r="E508" s="229">
        <v>300</v>
      </c>
      <c r="F508" s="229"/>
      <c r="G508" s="229">
        <f t="shared" ref="G508:G515" si="181">SUM(E508:F508)</f>
        <v>300</v>
      </c>
      <c r="H508" s="229"/>
      <c r="I508" s="229">
        <f t="shared" ref="I508:I515" si="182">SUM(G508:H508)</f>
        <v>300</v>
      </c>
      <c r="J508" s="229"/>
      <c r="K508" s="229">
        <f t="shared" ref="K508:K515" si="183">SUM(I508:J508)</f>
        <v>300</v>
      </c>
    </row>
    <row r="509" spans="1:11" ht="12.95" customHeight="1" x14ac:dyDescent="0.2">
      <c r="A509" s="157"/>
      <c r="B509" s="157"/>
      <c r="C509" s="144">
        <v>4300</v>
      </c>
      <c r="D509" s="185" t="s">
        <v>145</v>
      </c>
      <c r="E509" s="229">
        <v>49954</v>
      </c>
      <c r="F509" s="229"/>
      <c r="G509" s="229">
        <f t="shared" si="181"/>
        <v>49954</v>
      </c>
      <c r="H509" s="229"/>
      <c r="I509" s="229">
        <f t="shared" si="182"/>
        <v>49954</v>
      </c>
      <c r="J509" s="229"/>
      <c r="K509" s="229">
        <f t="shared" si="183"/>
        <v>49954</v>
      </c>
    </row>
    <row r="510" spans="1:11" ht="12.95" customHeight="1" x14ac:dyDescent="0.2">
      <c r="A510" s="157"/>
      <c r="B510" s="157"/>
      <c r="C510" s="144">
        <v>4360</v>
      </c>
      <c r="D510" s="185" t="s">
        <v>307</v>
      </c>
      <c r="E510" s="229">
        <v>2600</v>
      </c>
      <c r="F510" s="229"/>
      <c r="G510" s="229">
        <f t="shared" si="181"/>
        <v>2600</v>
      </c>
      <c r="H510" s="229"/>
      <c r="I510" s="229">
        <f t="shared" si="182"/>
        <v>2600</v>
      </c>
      <c r="J510" s="229"/>
      <c r="K510" s="229">
        <f t="shared" si="183"/>
        <v>2600</v>
      </c>
    </row>
    <row r="511" spans="1:11" ht="12.95" hidden="1" customHeight="1" x14ac:dyDescent="0.2">
      <c r="A511" s="157"/>
      <c r="B511" s="157"/>
      <c r="C511" s="144">
        <v>4370</v>
      </c>
      <c r="D511" s="185" t="s">
        <v>185</v>
      </c>
      <c r="E511" s="229"/>
      <c r="F511" s="229"/>
      <c r="G511" s="229">
        <f t="shared" si="181"/>
        <v>0</v>
      </c>
      <c r="H511" s="229"/>
      <c r="I511" s="229">
        <f t="shared" si="182"/>
        <v>0</v>
      </c>
      <c r="J511" s="229"/>
      <c r="K511" s="229">
        <f t="shared" si="183"/>
        <v>0</v>
      </c>
    </row>
    <row r="512" spans="1:11" ht="12.95" customHeight="1" x14ac:dyDescent="0.2">
      <c r="A512" s="157"/>
      <c r="B512" s="157"/>
      <c r="C512" s="144">
        <v>4410</v>
      </c>
      <c r="D512" s="185" t="s">
        <v>171</v>
      </c>
      <c r="E512" s="229">
        <v>236</v>
      </c>
      <c r="F512" s="229"/>
      <c r="G512" s="229">
        <f t="shared" si="181"/>
        <v>236</v>
      </c>
      <c r="H512" s="229"/>
      <c r="I512" s="229">
        <f t="shared" si="182"/>
        <v>236</v>
      </c>
      <c r="J512" s="229"/>
      <c r="K512" s="229">
        <f t="shared" si="183"/>
        <v>236</v>
      </c>
    </row>
    <row r="513" spans="1:11" ht="12.95" customHeight="1" x14ac:dyDescent="0.2">
      <c r="A513" s="157"/>
      <c r="B513" s="157"/>
      <c r="C513" s="144">
        <v>4430</v>
      </c>
      <c r="D513" s="185" t="s">
        <v>157</v>
      </c>
      <c r="E513" s="229">
        <v>5700</v>
      </c>
      <c r="F513" s="229"/>
      <c r="G513" s="229">
        <f t="shared" si="181"/>
        <v>5700</v>
      </c>
      <c r="H513" s="229"/>
      <c r="I513" s="229">
        <f t="shared" si="182"/>
        <v>5700</v>
      </c>
      <c r="J513" s="229"/>
      <c r="K513" s="229">
        <f t="shared" si="183"/>
        <v>5700</v>
      </c>
    </row>
    <row r="514" spans="1:11" ht="12.95" customHeight="1" x14ac:dyDescent="0.2">
      <c r="A514" s="157"/>
      <c r="B514" s="157"/>
      <c r="C514" s="145">
        <v>4440</v>
      </c>
      <c r="D514" s="191" t="s">
        <v>186</v>
      </c>
      <c r="E514" s="229">
        <v>8642</v>
      </c>
      <c r="F514" s="229"/>
      <c r="G514" s="229">
        <f t="shared" si="181"/>
        <v>8642</v>
      </c>
      <c r="H514" s="229"/>
      <c r="I514" s="229">
        <f t="shared" si="182"/>
        <v>8642</v>
      </c>
      <c r="J514" s="229"/>
      <c r="K514" s="229">
        <f t="shared" si="183"/>
        <v>8642</v>
      </c>
    </row>
    <row r="515" spans="1:11" ht="12.95" customHeight="1" x14ac:dyDescent="0.2">
      <c r="A515" s="157"/>
      <c r="B515" s="157"/>
      <c r="C515" s="144">
        <v>4700</v>
      </c>
      <c r="D515" s="185" t="s">
        <v>173</v>
      </c>
      <c r="E515" s="229">
        <v>1000</v>
      </c>
      <c r="F515" s="229"/>
      <c r="G515" s="229">
        <f t="shared" si="181"/>
        <v>1000</v>
      </c>
      <c r="H515" s="229"/>
      <c r="I515" s="229">
        <f t="shared" si="182"/>
        <v>1000</v>
      </c>
      <c r="J515" s="229"/>
      <c r="K515" s="229">
        <f t="shared" si="183"/>
        <v>1000</v>
      </c>
    </row>
    <row r="516" spans="1:11" ht="12.95" customHeight="1" x14ac:dyDescent="0.2">
      <c r="A516" s="167"/>
      <c r="B516" s="167">
        <v>85204</v>
      </c>
      <c r="C516" s="146"/>
      <c r="D516" s="194" t="s">
        <v>112</v>
      </c>
      <c r="E516" s="234">
        <f>SUM(E517,E522,E525,E527)+E529</f>
        <v>1893111</v>
      </c>
      <c r="F516" s="234">
        <f>SUM(F517,F522,F525,F527)+F529</f>
        <v>0</v>
      </c>
      <c r="G516" s="234">
        <f>SUM(G517+G522+G525+G527+G529)</f>
        <v>1893111</v>
      </c>
      <c r="H516" s="234">
        <f>SUM(H517+H522+H525+H527+H529)</f>
        <v>15394</v>
      </c>
      <c r="I516" s="234">
        <f>SUM(I517+I522+I525+I527+I529)</f>
        <v>1908505</v>
      </c>
      <c r="J516" s="234">
        <f>SUM(J517+J522+J525+J527+J529)</f>
        <v>-1419</v>
      </c>
      <c r="K516" s="234">
        <f>SUM(K517+K522+K525+K527+K529)</f>
        <v>1907086</v>
      </c>
    </row>
    <row r="517" spans="1:11" s="127" customFormat="1" ht="12.95" customHeight="1" x14ac:dyDescent="0.2">
      <c r="A517" s="168"/>
      <c r="B517" s="152"/>
      <c r="C517" s="299" t="s">
        <v>152</v>
      </c>
      <c r="D517" s="300"/>
      <c r="E517" s="228">
        <f>SUM(E519:E521)</f>
        <v>85777</v>
      </c>
      <c r="F517" s="228">
        <f>SUM(F519:F521)</f>
        <v>0</v>
      </c>
      <c r="G517" s="228">
        <f>SUM(G519:G521)</f>
        <v>85777</v>
      </c>
      <c r="H517" s="228">
        <f>SUM(H518:H521)</f>
        <v>5984</v>
      </c>
      <c r="I517" s="228">
        <f>SUM(I518:I521)</f>
        <v>91761</v>
      </c>
      <c r="J517" s="228">
        <f>SUM(J518:J521)</f>
        <v>0</v>
      </c>
      <c r="K517" s="228">
        <f>SUM(K518:K521)</f>
        <v>91761</v>
      </c>
    </row>
    <row r="518" spans="1:11" s="127" customFormat="1" ht="12.95" customHeight="1" x14ac:dyDescent="0.2">
      <c r="A518" s="168"/>
      <c r="B518" s="152"/>
      <c r="C518" s="263">
        <v>4010</v>
      </c>
      <c r="D518" s="262" t="s">
        <v>176</v>
      </c>
      <c r="E518" s="228"/>
      <c r="F518" s="228"/>
      <c r="G518" s="269"/>
      <c r="H518" s="269">
        <v>5000</v>
      </c>
      <c r="I518" s="269">
        <f>SUM(G518:H518)</f>
        <v>5000</v>
      </c>
      <c r="J518" s="269"/>
      <c r="K518" s="269">
        <f>SUM(I518:J518)</f>
        <v>5000</v>
      </c>
    </row>
    <row r="519" spans="1:11" ht="12.95" customHeight="1" x14ac:dyDescent="0.2">
      <c r="A519" s="157"/>
      <c r="B519" s="157"/>
      <c r="C519" s="144">
        <v>4110</v>
      </c>
      <c r="D519" s="185" t="s">
        <v>179</v>
      </c>
      <c r="E519" s="229">
        <v>12204</v>
      </c>
      <c r="F519" s="229"/>
      <c r="G519" s="229">
        <f>SUM(E519:F519)</f>
        <v>12204</v>
      </c>
      <c r="H519" s="229">
        <f>861</f>
        <v>861</v>
      </c>
      <c r="I519" s="229">
        <f>SUM(G519:H519)</f>
        <v>13065</v>
      </c>
      <c r="J519" s="229"/>
      <c r="K519" s="229">
        <f>SUM(I519:J519)</f>
        <v>13065</v>
      </c>
    </row>
    <row r="520" spans="1:11" ht="12.95" customHeight="1" x14ac:dyDescent="0.2">
      <c r="A520" s="157"/>
      <c r="B520" s="157"/>
      <c r="C520" s="144">
        <v>4120</v>
      </c>
      <c r="D520" s="185" t="s">
        <v>180</v>
      </c>
      <c r="E520" s="229">
        <v>1058</v>
      </c>
      <c r="F520" s="229"/>
      <c r="G520" s="229">
        <f>SUM(E520:F520)</f>
        <v>1058</v>
      </c>
      <c r="H520" s="229">
        <f>123</f>
        <v>123</v>
      </c>
      <c r="I520" s="229">
        <f>SUM(G520:H520)</f>
        <v>1181</v>
      </c>
      <c r="J520" s="229"/>
      <c r="K520" s="229">
        <f>SUM(I520:J520)</f>
        <v>1181</v>
      </c>
    </row>
    <row r="521" spans="1:11" x14ac:dyDescent="0.2">
      <c r="A521" s="157"/>
      <c r="B521" s="157"/>
      <c r="C521" s="144">
        <v>4170</v>
      </c>
      <c r="D521" s="192" t="s">
        <v>153</v>
      </c>
      <c r="E521" s="229">
        <v>72515</v>
      </c>
      <c r="F521" s="229"/>
      <c r="G521" s="229">
        <f>SUM(E521:F521)</f>
        <v>72515</v>
      </c>
      <c r="H521" s="229"/>
      <c r="I521" s="229">
        <f>SUM(G521:H521)</f>
        <v>72515</v>
      </c>
      <c r="J521" s="229"/>
      <c r="K521" s="229">
        <f>SUM(I521:J521)</f>
        <v>72515</v>
      </c>
    </row>
    <row r="522" spans="1:11" s="127" customFormat="1" ht="12.95" customHeight="1" x14ac:dyDescent="0.2">
      <c r="A522" s="168"/>
      <c r="B522" s="152"/>
      <c r="C522" s="299" t="s">
        <v>167</v>
      </c>
      <c r="D522" s="300"/>
      <c r="E522" s="228">
        <f t="shared" ref="E522:K522" si="184">SUM(E523:E524)</f>
        <v>152136</v>
      </c>
      <c r="F522" s="228">
        <f t="shared" si="184"/>
        <v>0</v>
      </c>
      <c r="G522" s="228">
        <f t="shared" si="184"/>
        <v>152136</v>
      </c>
      <c r="H522" s="228">
        <f t="shared" si="184"/>
        <v>9410</v>
      </c>
      <c r="I522" s="228">
        <f t="shared" si="184"/>
        <v>161546</v>
      </c>
      <c r="J522" s="228">
        <f t="shared" si="184"/>
        <v>-1419</v>
      </c>
      <c r="K522" s="228">
        <f t="shared" si="184"/>
        <v>160127</v>
      </c>
    </row>
    <row r="523" spans="1:11" ht="12.95" customHeight="1" x14ac:dyDescent="0.2">
      <c r="A523" s="157"/>
      <c r="B523" s="157"/>
      <c r="C523" s="145">
        <v>2310</v>
      </c>
      <c r="D523" s="191" t="s">
        <v>235</v>
      </c>
      <c r="E523" s="229">
        <v>85968</v>
      </c>
      <c r="F523" s="229"/>
      <c r="G523" s="229">
        <f>SUM(E523:F523)</f>
        <v>85968</v>
      </c>
      <c r="H523" s="229"/>
      <c r="I523" s="229">
        <f>SUM(G523:H523)</f>
        <v>85968</v>
      </c>
      <c r="J523" s="229">
        <v>-1419</v>
      </c>
      <c r="K523" s="229">
        <f>SUM(I523:J523)</f>
        <v>84549</v>
      </c>
    </row>
    <row r="524" spans="1:11" ht="12.95" customHeight="1" x14ac:dyDescent="0.2">
      <c r="A524" s="157"/>
      <c r="B524" s="157"/>
      <c r="C524" s="145">
        <v>2320</v>
      </c>
      <c r="D524" s="192" t="s">
        <v>228</v>
      </c>
      <c r="E524" s="229">
        <v>66168</v>
      </c>
      <c r="F524" s="229"/>
      <c r="G524" s="229">
        <f>SUM(E524:F524)</f>
        <v>66168</v>
      </c>
      <c r="H524" s="229">
        <f>9410</f>
        <v>9410</v>
      </c>
      <c r="I524" s="229">
        <f>SUM(G524:H524)</f>
        <v>75578</v>
      </c>
      <c r="J524" s="229"/>
      <c r="K524" s="229">
        <f>SUM(I524:J524)</f>
        <v>75578</v>
      </c>
    </row>
    <row r="525" spans="1:11" s="127" customFormat="1" ht="12" customHeight="1" x14ac:dyDescent="0.2">
      <c r="A525" s="168"/>
      <c r="B525" s="152"/>
      <c r="C525" s="299" t="s">
        <v>150</v>
      </c>
      <c r="D525" s="300"/>
      <c r="E525" s="228">
        <f t="shared" ref="E525:K525" si="185">SUM(E526)</f>
        <v>1599229</v>
      </c>
      <c r="F525" s="228">
        <f t="shared" si="185"/>
        <v>0</v>
      </c>
      <c r="G525" s="228">
        <f t="shared" si="185"/>
        <v>1599229</v>
      </c>
      <c r="H525" s="228">
        <f t="shared" si="185"/>
        <v>0</v>
      </c>
      <c r="I525" s="228">
        <f t="shared" si="185"/>
        <v>1599229</v>
      </c>
      <c r="J525" s="228">
        <f t="shared" si="185"/>
        <v>0</v>
      </c>
      <c r="K525" s="228">
        <f t="shared" si="185"/>
        <v>1599229</v>
      </c>
    </row>
    <row r="526" spans="1:11" ht="12.95" customHeight="1" x14ac:dyDescent="0.2">
      <c r="A526" s="157"/>
      <c r="B526" s="157"/>
      <c r="C526" s="145">
        <v>3110</v>
      </c>
      <c r="D526" s="191" t="s">
        <v>230</v>
      </c>
      <c r="E526" s="229">
        <v>1599229</v>
      </c>
      <c r="F526" s="229"/>
      <c r="G526" s="229">
        <f>SUM(E526:F526)</f>
        <v>1599229</v>
      </c>
      <c r="H526" s="229"/>
      <c r="I526" s="229">
        <f>SUM(G526:H526)</f>
        <v>1599229</v>
      </c>
      <c r="J526" s="229"/>
      <c r="K526" s="229">
        <f>SUM(I526:J526)</f>
        <v>1599229</v>
      </c>
    </row>
    <row r="527" spans="1:11" s="127" customFormat="1" ht="26.25" customHeight="1" x14ac:dyDescent="0.2">
      <c r="A527" s="168"/>
      <c r="B527" s="207"/>
      <c r="C527" s="295" t="s">
        <v>294</v>
      </c>
      <c r="D527" s="296"/>
      <c r="E527" s="228">
        <f t="shared" ref="E527:K527" si="186">SUM(E528:E528)</f>
        <v>28500</v>
      </c>
      <c r="F527" s="228">
        <f t="shared" si="186"/>
        <v>0</v>
      </c>
      <c r="G527" s="228">
        <f t="shared" si="186"/>
        <v>28500</v>
      </c>
      <c r="H527" s="228">
        <f t="shared" si="186"/>
        <v>0</v>
      </c>
      <c r="I527" s="228">
        <f t="shared" si="186"/>
        <v>28500</v>
      </c>
      <c r="J527" s="228">
        <f t="shared" si="186"/>
        <v>0</v>
      </c>
      <c r="K527" s="228">
        <f t="shared" si="186"/>
        <v>28500</v>
      </c>
    </row>
    <row r="528" spans="1:11" x14ac:dyDescent="0.2">
      <c r="A528" s="157"/>
      <c r="B528" s="157"/>
      <c r="C528" s="144">
        <v>4300</v>
      </c>
      <c r="D528" s="185" t="s">
        <v>145</v>
      </c>
      <c r="E528" s="229">
        <v>28500</v>
      </c>
      <c r="F528" s="229"/>
      <c r="G528" s="229">
        <f>SUM(E528:F528)</f>
        <v>28500</v>
      </c>
      <c r="H528" s="229"/>
      <c r="I528" s="229">
        <f>SUM(G528:H528)</f>
        <v>28500</v>
      </c>
      <c r="J528" s="229"/>
      <c r="K528" s="229">
        <f>SUM(I528:J528)</f>
        <v>28500</v>
      </c>
    </row>
    <row r="529" spans="1:11" s="127" customFormat="1" ht="33" customHeight="1" x14ac:dyDescent="0.2">
      <c r="A529" s="168"/>
      <c r="B529" s="152"/>
      <c r="C529" s="315" t="s">
        <v>162</v>
      </c>
      <c r="D529" s="316"/>
      <c r="E529" s="228">
        <f t="shared" ref="E529:K529" si="187">SUM(E530:E530)</f>
        <v>27469</v>
      </c>
      <c r="F529" s="228">
        <f t="shared" si="187"/>
        <v>0</v>
      </c>
      <c r="G529" s="228">
        <f t="shared" si="187"/>
        <v>27469</v>
      </c>
      <c r="H529" s="228">
        <f t="shared" si="187"/>
        <v>0</v>
      </c>
      <c r="I529" s="228">
        <f t="shared" si="187"/>
        <v>27469</v>
      </c>
      <c r="J529" s="228">
        <f t="shared" si="187"/>
        <v>0</v>
      </c>
      <c r="K529" s="228">
        <f t="shared" si="187"/>
        <v>27469</v>
      </c>
    </row>
    <row r="530" spans="1:11" x14ac:dyDescent="0.2">
      <c r="A530" s="157"/>
      <c r="B530" s="157"/>
      <c r="C530" s="144">
        <v>3119</v>
      </c>
      <c r="D530" s="185" t="s">
        <v>230</v>
      </c>
      <c r="E530" s="229">
        <v>27469</v>
      </c>
      <c r="F530" s="229"/>
      <c r="G530" s="229">
        <f>SUM(E530:F530)</f>
        <v>27469</v>
      </c>
      <c r="H530" s="229"/>
      <c r="I530" s="229">
        <f>SUM(G530:H530)</f>
        <v>27469</v>
      </c>
      <c r="J530" s="229"/>
      <c r="K530" s="229">
        <f>SUM(I530:J530)</f>
        <v>27469</v>
      </c>
    </row>
    <row r="531" spans="1:11" ht="12.95" customHeight="1" x14ac:dyDescent="0.2">
      <c r="A531" s="167"/>
      <c r="B531" s="167">
        <v>85205</v>
      </c>
      <c r="C531" s="146"/>
      <c r="D531" s="188" t="s">
        <v>236</v>
      </c>
      <c r="E531" s="234">
        <f>SUM(E532)</f>
        <v>6000</v>
      </c>
      <c r="F531" s="234">
        <f>SUM(F532)</f>
        <v>0</v>
      </c>
      <c r="G531" s="234">
        <f>SUM(G532+G536)</f>
        <v>6000</v>
      </c>
      <c r="H531" s="234">
        <f>SUM(H532+H536)</f>
        <v>4230</v>
      </c>
      <c r="I531" s="234">
        <f>SUM(I532+I536)</f>
        <v>10230</v>
      </c>
      <c r="J531" s="234">
        <f>SUM(J532+J536)</f>
        <v>0</v>
      </c>
      <c r="K531" s="234">
        <f>SUM(K532+K536)</f>
        <v>10230</v>
      </c>
    </row>
    <row r="532" spans="1:11" s="127" customFormat="1" ht="12.95" customHeight="1" x14ac:dyDescent="0.2">
      <c r="A532" s="168"/>
      <c r="B532" s="152"/>
      <c r="C532" s="299" t="s">
        <v>152</v>
      </c>
      <c r="D532" s="300"/>
      <c r="E532" s="228">
        <f>SUM(E533:E534)</f>
        <v>6000</v>
      </c>
      <c r="F532" s="228">
        <f>SUM(F533:F534)</f>
        <v>0</v>
      </c>
      <c r="G532" s="228">
        <f>SUM(G533:G535)</f>
        <v>6000</v>
      </c>
      <c r="H532" s="228">
        <f>SUM(H533:H535)</f>
        <v>3775</v>
      </c>
      <c r="I532" s="228">
        <f>SUM(I533:I535)</f>
        <v>9775</v>
      </c>
      <c r="J532" s="228">
        <f>SUM(J533:J535)</f>
        <v>0</v>
      </c>
      <c r="K532" s="228">
        <f>SUM(K533:K535)</f>
        <v>9775</v>
      </c>
    </row>
    <row r="533" spans="1:11" ht="12.95" customHeight="1" x14ac:dyDescent="0.2">
      <c r="A533" s="157"/>
      <c r="B533" s="157"/>
      <c r="C533" s="144">
        <v>4010</v>
      </c>
      <c r="D533" s="185" t="s">
        <v>176</v>
      </c>
      <c r="E533" s="229">
        <v>5119</v>
      </c>
      <c r="F533" s="229"/>
      <c r="G533" s="229">
        <f>SUM(E533:F533)</f>
        <v>5119</v>
      </c>
      <c r="H533" s="229">
        <f>3609-5119+5119-3609</f>
        <v>0</v>
      </c>
      <c r="I533" s="229">
        <f>SUM(G533:H533)</f>
        <v>5119</v>
      </c>
      <c r="J533" s="229">
        <f>3609-5119+5119-3609</f>
        <v>0</v>
      </c>
      <c r="K533" s="229">
        <f>SUM(I533:J533)</f>
        <v>5119</v>
      </c>
    </row>
    <row r="534" spans="1:11" ht="12.95" customHeight="1" x14ac:dyDescent="0.2">
      <c r="A534" s="157"/>
      <c r="B534" s="157"/>
      <c r="C534" s="144">
        <v>4110</v>
      </c>
      <c r="D534" s="185" t="s">
        <v>179</v>
      </c>
      <c r="E534" s="229">
        <v>881</v>
      </c>
      <c r="F534" s="229"/>
      <c r="G534" s="229">
        <f>SUM(E534:F534)</f>
        <v>881</v>
      </c>
      <c r="H534" s="229">
        <f>621-881+881-621</f>
        <v>0</v>
      </c>
      <c r="I534" s="229">
        <f>SUM(G534:H534)</f>
        <v>881</v>
      </c>
      <c r="J534" s="229">
        <f>621-881+881-621</f>
        <v>0</v>
      </c>
      <c r="K534" s="229">
        <f>SUM(I534:J534)</f>
        <v>881</v>
      </c>
    </row>
    <row r="535" spans="1:11" ht="12.95" customHeight="1" x14ac:dyDescent="0.2">
      <c r="A535" s="157"/>
      <c r="B535" s="157"/>
      <c r="C535" s="157">
        <v>4170</v>
      </c>
      <c r="D535" s="200" t="s">
        <v>153</v>
      </c>
      <c r="E535" s="229"/>
      <c r="F535" s="229"/>
      <c r="G535" s="229"/>
      <c r="H535" s="229">
        <v>3775</v>
      </c>
      <c r="I535" s="229">
        <f>SUM(G535:H535)</f>
        <v>3775</v>
      </c>
      <c r="J535" s="229"/>
      <c r="K535" s="229">
        <f>SUM(I535:J535)</f>
        <v>3775</v>
      </c>
    </row>
    <row r="536" spans="1:11" ht="22.5" customHeight="1" x14ac:dyDescent="0.2">
      <c r="A536" s="157"/>
      <c r="B536" s="157"/>
      <c r="C536" s="295" t="s">
        <v>294</v>
      </c>
      <c r="D536" s="296"/>
      <c r="E536" s="229"/>
      <c r="F536" s="229"/>
      <c r="G536" s="235">
        <f>SUM(G537)</f>
        <v>0</v>
      </c>
      <c r="H536" s="235">
        <f>SUM(H537)</f>
        <v>455</v>
      </c>
      <c r="I536" s="235">
        <f>SUM(I537)</f>
        <v>455</v>
      </c>
      <c r="J536" s="235">
        <f>SUM(J537)</f>
        <v>0</v>
      </c>
      <c r="K536" s="235">
        <f>SUM(K537)</f>
        <v>455</v>
      </c>
    </row>
    <row r="537" spans="1:11" ht="12.95" customHeight="1" x14ac:dyDescent="0.2">
      <c r="A537" s="157"/>
      <c r="B537" s="157"/>
      <c r="C537" s="144">
        <v>4210</v>
      </c>
      <c r="D537" s="185" t="s">
        <v>154</v>
      </c>
      <c r="E537" s="229"/>
      <c r="F537" s="229"/>
      <c r="G537" s="229"/>
      <c r="H537" s="229">
        <f>455</f>
        <v>455</v>
      </c>
      <c r="I537" s="229">
        <f>SUM(G537:H537)</f>
        <v>455</v>
      </c>
      <c r="J537" s="229"/>
      <c r="K537" s="229">
        <f>SUM(I537:J537)</f>
        <v>455</v>
      </c>
    </row>
    <row r="538" spans="1:11" ht="12.95" customHeight="1" x14ac:dyDescent="0.2">
      <c r="A538" s="167"/>
      <c r="B538" s="167">
        <v>85218</v>
      </c>
      <c r="C538" s="146"/>
      <c r="D538" s="194" t="s">
        <v>237</v>
      </c>
      <c r="E538" s="234">
        <f t="shared" ref="E538:K538" si="188">SUM(E539+E545+E559)</f>
        <v>803688</v>
      </c>
      <c r="F538" s="234">
        <f t="shared" si="188"/>
        <v>0</v>
      </c>
      <c r="G538" s="234">
        <f t="shared" si="188"/>
        <v>803688</v>
      </c>
      <c r="H538" s="234">
        <f t="shared" si="188"/>
        <v>0</v>
      </c>
      <c r="I538" s="234">
        <f t="shared" si="188"/>
        <v>803688</v>
      </c>
      <c r="J538" s="234">
        <f t="shared" si="188"/>
        <v>0</v>
      </c>
      <c r="K538" s="234">
        <f t="shared" si="188"/>
        <v>803688</v>
      </c>
    </row>
    <row r="539" spans="1:11" s="127" customFormat="1" ht="12.95" customHeight="1" x14ac:dyDescent="0.2">
      <c r="A539" s="168"/>
      <c r="B539" s="152"/>
      <c r="C539" s="299" t="s">
        <v>152</v>
      </c>
      <c r="D539" s="300"/>
      <c r="E539" s="228">
        <f t="shared" ref="E539:K539" si="189">SUM(E540:E544)</f>
        <v>458541</v>
      </c>
      <c r="F539" s="228">
        <f t="shared" si="189"/>
        <v>0</v>
      </c>
      <c r="G539" s="228">
        <f t="shared" si="189"/>
        <v>458541</v>
      </c>
      <c r="H539" s="228">
        <f t="shared" si="189"/>
        <v>0</v>
      </c>
      <c r="I539" s="228">
        <f t="shared" si="189"/>
        <v>458541</v>
      </c>
      <c r="J539" s="228">
        <f t="shared" si="189"/>
        <v>0</v>
      </c>
      <c r="K539" s="228">
        <f t="shared" si="189"/>
        <v>458541</v>
      </c>
    </row>
    <row r="540" spans="1:11" ht="12.95" customHeight="1" x14ac:dyDescent="0.2">
      <c r="A540" s="157"/>
      <c r="B540" s="157"/>
      <c r="C540" s="144">
        <v>4010</v>
      </c>
      <c r="D540" s="185" t="s">
        <v>176</v>
      </c>
      <c r="E540" s="233">
        <v>341152</v>
      </c>
      <c r="F540" s="233"/>
      <c r="G540" s="233">
        <f>SUM(E540:F540)</f>
        <v>341152</v>
      </c>
      <c r="H540" s="233"/>
      <c r="I540" s="233">
        <f>SUM(G540:H540)</f>
        <v>341152</v>
      </c>
      <c r="J540" s="233"/>
      <c r="K540" s="233">
        <f>SUM(I540:J540)</f>
        <v>341152</v>
      </c>
    </row>
    <row r="541" spans="1:11" ht="12.95" customHeight="1" x14ac:dyDescent="0.2">
      <c r="A541" s="157"/>
      <c r="B541" s="157"/>
      <c r="C541" s="144">
        <v>4040</v>
      </c>
      <c r="D541" s="185" t="s">
        <v>178</v>
      </c>
      <c r="E541" s="233">
        <v>30019</v>
      </c>
      <c r="F541" s="233"/>
      <c r="G541" s="233">
        <f>SUM(E541:F541)</f>
        <v>30019</v>
      </c>
      <c r="H541" s="233"/>
      <c r="I541" s="233">
        <f>SUM(G541:H541)</f>
        <v>30019</v>
      </c>
      <c r="J541" s="233"/>
      <c r="K541" s="233">
        <f>SUM(I541:J541)</f>
        <v>30019</v>
      </c>
    </row>
    <row r="542" spans="1:11" ht="12.95" customHeight="1" x14ac:dyDescent="0.2">
      <c r="A542" s="157"/>
      <c r="B542" s="157"/>
      <c r="C542" s="144">
        <v>4110</v>
      </c>
      <c r="D542" s="185" t="s">
        <v>179</v>
      </c>
      <c r="E542" s="233">
        <v>65982</v>
      </c>
      <c r="F542" s="233"/>
      <c r="G542" s="233">
        <f>SUM(E542:F542)</f>
        <v>65982</v>
      </c>
      <c r="H542" s="233"/>
      <c r="I542" s="233">
        <f>SUM(G542:H542)</f>
        <v>65982</v>
      </c>
      <c r="J542" s="233"/>
      <c r="K542" s="233">
        <f>SUM(I542:J542)</f>
        <v>65982</v>
      </c>
    </row>
    <row r="543" spans="1:11" ht="12.95" customHeight="1" x14ac:dyDescent="0.2">
      <c r="A543" s="157"/>
      <c r="B543" s="157"/>
      <c r="C543" s="144">
        <v>4120</v>
      </c>
      <c r="D543" s="185" t="s">
        <v>180</v>
      </c>
      <c r="E543" s="233">
        <v>9388</v>
      </c>
      <c r="F543" s="233"/>
      <c r="G543" s="233">
        <f>SUM(E543:F543)</f>
        <v>9388</v>
      </c>
      <c r="H543" s="233"/>
      <c r="I543" s="233">
        <f>SUM(G543:H543)</f>
        <v>9388</v>
      </c>
      <c r="J543" s="233"/>
      <c r="K543" s="233">
        <f>SUM(I543:J543)</f>
        <v>9388</v>
      </c>
    </row>
    <row r="544" spans="1:11" ht="12.95" customHeight="1" x14ac:dyDescent="0.2">
      <c r="A544" s="157"/>
      <c r="B544" s="157"/>
      <c r="C544" s="144">
        <v>4170</v>
      </c>
      <c r="D544" s="192" t="s">
        <v>153</v>
      </c>
      <c r="E544" s="233">
        <v>12000</v>
      </c>
      <c r="F544" s="233"/>
      <c r="G544" s="233">
        <f>SUM(E544:F544)</f>
        <v>12000</v>
      </c>
      <c r="H544" s="233"/>
      <c r="I544" s="233">
        <f>SUM(G544:H544)</f>
        <v>12000</v>
      </c>
      <c r="J544" s="233"/>
      <c r="K544" s="233">
        <f>SUM(I544:J544)</f>
        <v>12000</v>
      </c>
    </row>
    <row r="545" spans="1:11" s="127" customFormat="1" ht="25.5" customHeight="1" x14ac:dyDescent="0.2">
      <c r="A545" s="168"/>
      <c r="B545" s="207"/>
      <c r="C545" s="295" t="s">
        <v>294</v>
      </c>
      <c r="D545" s="296"/>
      <c r="E545" s="232">
        <f t="shared" ref="E545:K545" si="190">SUM(E546:E558)</f>
        <v>87350</v>
      </c>
      <c r="F545" s="232">
        <f t="shared" si="190"/>
        <v>0</v>
      </c>
      <c r="G545" s="232">
        <f t="shared" si="190"/>
        <v>87350</v>
      </c>
      <c r="H545" s="232">
        <f t="shared" si="190"/>
        <v>0</v>
      </c>
      <c r="I545" s="232">
        <f t="shared" si="190"/>
        <v>87350</v>
      </c>
      <c r="J545" s="232">
        <f t="shared" si="190"/>
        <v>0</v>
      </c>
      <c r="K545" s="232">
        <f t="shared" si="190"/>
        <v>87350</v>
      </c>
    </row>
    <row r="546" spans="1:11" ht="12.95" customHeight="1" x14ac:dyDescent="0.2">
      <c r="A546" s="157"/>
      <c r="B546" s="157"/>
      <c r="C546" s="144">
        <v>4210</v>
      </c>
      <c r="D546" s="192" t="s">
        <v>154</v>
      </c>
      <c r="E546" s="233">
        <v>16229</v>
      </c>
      <c r="F546" s="233"/>
      <c r="G546" s="233">
        <f>SUM(E546:F546)</f>
        <v>16229</v>
      </c>
      <c r="H546" s="233"/>
      <c r="I546" s="233">
        <f>SUM(G546:H546)</f>
        <v>16229</v>
      </c>
      <c r="J546" s="233"/>
      <c r="K546" s="233">
        <f>SUM(I546:J546)</f>
        <v>16229</v>
      </c>
    </row>
    <row r="547" spans="1:11" ht="12.95" customHeight="1" x14ac:dyDescent="0.2">
      <c r="A547" s="157"/>
      <c r="B547" s="157"/>
      <c r="C547" s="144">
        <v>4260</v>
      </c>
      <c r="D547" s="185" t="s">
        <v>155</v>
      </c>
      <c r="E547" s="233">
        <v>10000</v>
      </c>
      <c r="F547" s="233"/>
      <c r="G547" s="233">
        <f t="shared" ref="G547:G558" si="191">SUM(E547:F547)</f>
        <v>10000</v>
      </c>
      <c r="H547" s="233"/>
      <c r="I547" s="233">
        <f t="shared" ref="I547:I558" si="192">SUM(G547:H547)</f>
        <v>10000</v>
      </c>
      <c r="J547" s="233"/>
      <c r="K547" s="233">
        <f t="shared" ref="K547:K558" si="193">SUM(I547:J547)</f>
        <v>10000</v>
      </c>
    </row>
    <row r="548" spans="1:11" ht="12.95" customHeight="1" x14ac:dyDescent="0.2">
      <c r="A548" s="157"/>
      <c r="B548" s="157"/>
      <c r="C548" s="144">
        <v>4270</v>
      </c>
      <c r="D548" s="185" t="s">
        <v>156</v>
      </c>
      <c r="E548" s="233">
        <v>5000</v>
      </c>
      <c r="F548" s="233"/>
      <c r="G548" s="233">
        <f t="shared" si="191"/>
        <v>5000</v>
      </c>
      <c r="H548" s="233"/>
      <c r="I548" s="233">
        <f t="shared" si="192"/>
        <v>5000</v>
      </c>
      <c r="J548" s="233"/>
      <c r="K548" s="233">
        <f t="shared" si="193"/>
        <v>5000</v>
      </c>
    </row>
    <row r="549" spans="1:11" ht="12.95" customHeight="1" x14ac:dyDescent="0.2">
      <c r="A549" s="157"/>
      <c r="B549" s="157"/>
      <c r="C549" s="144">
        <v>4280</v>
      </c>
      <c r="D549" s="185" t="s">
        <v>182</v>
      </c>
      <c r="E549" s="233">
        <v>1000</v>
      </c>
      <c r="F549" s="233"/>
      <c r="G549" s="233">
        <f t="shared" si="191"/>
        <v>1000</v>
      </c>
      <c r="H549" s="233"/>
      <c r="I549" s="233">
        <f t="shared" si="192"/>
        <v>1000</v>
      </c>
      <c r="J549" s="233"/>
      <c r="K549" s="233">
        <f t="shared" si="193"/>
        <v>1000</v>
      </c>
    </row>
    <row r="550" spans="1:11" ht="12.95" customHeight="1" x14ac:dyDescent="0.2">
      <c r="A550" s="157"/>
      <c r="B550" s="157"/>
      <c r="C550" s="144">
        <v>4300</v>
      </c>
      <c r="D550" s="185" t="s">
        <v>145</v>
      </c>
      <c r="E550" s="233">
        <v>20000</v>
      </c>
      <c r="F550" s="233"/>
      <c r="G550" s="233">
        <f t="shared" si="191"/>
        <v>20000</v>
      </c>
      <c r="H550" s="233"/>
      <c r="I550" s="233">
        <f t="shared" si="192"/>
        <v>20000</v>
      </c>
      <c r="J550" s="233"/>
      <c r="K550" s="233">
        <f t="shared" si="193"/>
        <v>20000</v>
      </c>
    </row>
    <row r="551" spans="1:11" ht="12.95" customHeight="1" x14ac:dyDescent="0.2">
      <c r="A551" s="157"/>
      <c r="B551" s="157"/>
      <c r="C551" s="144">
        <v>4360</v>
      </c>
      <c r="D551" s="185" t="s">
        <v>307</v>
      </c>
      <c r="E551" s="233">
        <v>5500</v>
      </c>
      <c r="F551" s="233"/>
      <c r="G551" s="233">
        <f t="shared" si="191"/>
        <v>5500</v>
      </c>
      <c r="H551" s="233"/>
      <c r="I551" s="233">
        <f t="shared" si="192"/>
        <v>5500</v>
      </c>
      <c r="J551" s="233"/>
      <c r="K551" s="233">
        <f t="shared" si="193"/>
        <v>5500</v>
      </c>
    </row>
    <row r="552" spans="1:11" ht="12.95" customHeight="1" x14ac:dyDescent="0.2">
      <c r="A552" s="157"/>
      <c r="B552" s="157"/>
      <c r="C552" s="145">
        <v>4410</v>
      </c>
      <c r="D552" s="191" t="s">
        <v>171</v>
      </c>
      <c r="E552" s="233">
        <v>2000</v>
      </c>
      <c r="F552" s="233"/>
      <c r="G552" s="233">
        <f t="shared" si="191"/>
        <v>2000</v>
      </c>
      <c r="H552" s="233"/>
      <c r="I552" s="233">
        <f t="shared" si="192"/>
        <v>2000</v>
      </c>
      <c r="J552" s="233"/>
      <c r="K552" s="233">
        <f t="shared" si="193"/>
        <v>2000</v>
      </c>
    </row>
    <row r="553" spans="1:11" ht="12.95" customHeight="1" x14ac:dyDescent="0.2">
      <c r="A553" s="157"/>
      <c r="B553" s="157"/>
      <c r="C553" s="144">
        <v>4430</v>
      </c>
      <c r="D553" s="185" t="s">
        <v>157</v>
      </c>
      <c r="E553" s="233">
        <v>7000</v>
      </c>
      <c r="F553" s="233"/>
      <c r="G553" s="233">
        <f t="shared" si="191"/>
        <v>7000</v>
      </c>
      <c r="H553" s="233"/>
      <c r="I553" s="233">
        <f t="shared" si="192"/>
        <v>7000</v>
      </c>
      <c r="J553" s="233"/>
      <c r="K553" s="233">
        <f t="shared" si="193"/>
        <v>7000</v>
      </c>
    </row>
    <row r="554" spans="1:11" ht="12.95" customHeight="1" x14ac:dyDescent="0.2">
      <c r="A554" s="157"/>
      <c r="B554" s="157"/>
      <c r="C554" s="145">
        <v>4440</v>
      </c>
      <c r="D554" s="191" t="s">
        <v>186</v>
      </c>
      <c r="E554" s="233">
        <v>16410</v>
      </c>
      <c r="F554" s="233"/>
      <c r="G554" s="233">
        <f t="shared" si="191"/>
        <v>16410</v>
      </c>
      <c r="H554" s="233"/>
      <c r="I554" s="233">
        <f t="shared" si="192"/>
        <v>16410</v>
      </c>
      <c r="J554" s="233"/>
      <c r="K554" s="233">
        <f t="shared" si="193"/>
        <v>16410</v>
      </c>
    </row>
    <row r="555" spans="1:11" ht="12.95" customHeight="1" x14ac:dyDescent="0.2">
      <c r="A555" s="157"/>
      <c r="B555" s="157"/>
      <c r="C555" s="145">
        <v>4480</v>
      </c>
      <c r="D555" s="191" t="s">
        <v>172</v>
      </c>
      <c r="E555" s="233">
        <v>1000</v>
      </c>
      <c r="F555" s="233"/>
      <c r="G555" s="233">
        <f t="shared" si="191"/>
        <v>1000</v>
      </c>
      <c r="H555" s="233"/>
      <c r="I555" s="233">
        <f t="shared" si="192"/>
        <v>1000</v>
      </c>
      <c r="J555" s="233"/>
      <c r="K555" s="233">
        <f t="shared" si="193"/>
        <v>1000</v>
      </c>
    </row>
    <row r="556" spans="1:11" ht="12.95" customHeight="1" x14ac:dyDescent="0.2">
      <c r="A556" s="157"/>
      <c r="B556" s="157"/>
      <c r="C556" s="145">
        <v>4520</v>
      </c>
      <c r="D556" s="191" t="s">
        <v>302</v>
      </c>
      <c r="E556" s="233">
        <v>11</v>
      </c>
      <c r="F556" s="233"/>
      <c r="G556" s="233">
        <f t="shared" si="191"/>
        <v>11</v>
      </c>
      <c r="H556" s="233"/>
      <c r="I556" s="233">
        <f t="shared" si="192"/>
        <v>11</v>
      </c>
      <c r="J556" s="233"/>
      <c r="K556" s="233">
        <f t="shared" si="193"/>
        <v>11</v>
      </c>
    </row>
    <row r="557" spans="1:11" ht="12.95" customHeight="1" x14ac:dyDescent="0.2">
      <c r="A557" s="157"/>
      <c r="B557" s="157"/>
      <c r="C557" s="145">
        <v>4610</v>
      </c>
      <c r="D557" s="191" t="s">
        <v>164</v>
      </c>
      <c r="E557" s="233">
        <v>200</v>
      </c>
      <c r="F557" s="233"/>
      <c r="G557" s="233">
        <f t="shared" si="191"/>
        <v>200</v>
      </c>
      <c r="H557" s="233"/>
      <c r="I557" s="233">
        <f t="shared" si="192"/>
        <v>200</v>
      </c>
      <c r="J557" s="233"/>
      <c r="K557" s="233">
        <f t="shared" si="193"/>
        <v>200</v>
      </c>
    </row>
    <row r="558" spans="1:11" x14ac:dyDescent="0.2">
      <c r="A558" s="157"/>
      <c r="B558" s="157"/>
      <c r="C558" s="145">
        <v>4700</v>
      </c>
      <c r="D558" s="185" t="s">
        <v>173</v>
      </c>
      <c r="E558" s="233">
        <v>3000</v>
      </c>
      <c r="F558" s="233"/>
      <c r="G558" s="233">
        <f t="shared" si="191"/>
        <v>3000</v>
      </c>
      <c r="H558" s="233"/>
      <c r="I558" s="233">
        <f t="shared" si="192"/>
        <v>3000</v>
      </c>
      <c r="J558" s="233"/>
      <c r="K558" s="233">
        <f t="shared" si="193"/>
        <v>3000</v>
      </c>
    </row>
    <row r="559" spans="1:11" s="127" customFormat="1" ht="36.75" customHeight="1" x14ac:dyDescent="0.2">
      <c r="A559" s="168"/>
      <c r="B559" s="152"/>
      <c r="C559" s="307" t="s">
        <v>162</v>
      </c>
      <c r="D559" s="308"/>
      <c r="E559" s="232">
        <f t="shared" ref="E559:K559" si="194">SUM(E560:E591)</f>
        <v>257797</v>
      </c>
      <c r="F559" s="232">
        <f t="shared" si="194"/>
        <v>0</v>
      </c>
      <c r="G559" s="232">
        <f t="shared" si="194"/>
        <v>257797</v>
      </c>
      <c r="H559" s="232">
        <f t="shared" si="194"/>
        <v>0</v>
      </c>
      <c r="I559" s="232">
        <f t="shared" si="194"/>
        <v>257797</v>
      </c>
      <c r="J559" s="232">
        <f t="shared" si="194"/>
        <v>0</v>
      </c>
      <c r="K559" s="232">
        <f t="shared" si="194"/>
        <v>257797</v>
      </c>
    </row>
    <row r="560" spans="1:11" s="127" customFormat="1" ht="12.75" customHeight="1" x14ac:dyDescent="0.2">
      <c r="A560" s="168"/>
      <c r="B560" s="152"/>
      <c r="C560" s="222">
        <v>3117</v>
      </c>
      <c r="D560" s="223" t="s">
        <v>230</v>
      </c>
      <c r="E560" s="241">
        <v>11112</v>
      </c>
      <c r="F560" s="241"/>
      <c r="G560" s="241">
        <f>SUM(E560:F560)</f>
        <v>11112</v>
      </c>
      <c r="H560" s="241"/>
      <c r="I560" s="241">
        <f>SUM(G560:H560)</f>
        <v>11112</v>
      </c>
      <c r="J560" s="241"/>
      <c r="K560" s="241">
        <f>SUM(I560:J560)</f>
        <v>11112</v>
      </c>
    </row>
    <row r="561" spans="1:11" s="127" customFormat="1" ht="12.75" customHeight="1" x14ac:dyDescent="0.2">
      <c r="A561" s="168"/>
      <c r="B561" s="152"/>
      <c r="C561" s="222">
        <v>3119</v>
      </c>
      <c r="D561" s="223" t="s">
        <v>230</v>
      </c>
      <c r="E561" s="241">
        <v>589</v>
      </c>
      <c r="F561" s="241"/>
      <c r="G561" s="241">
        <f t="shared" ref="G561:G591" si="195">SUM(E561:F561)</f>
        <v>589</v>
      </c>
      <c r="H561" s="241"/>
      <c r="I561" s="241">
        <f t="shared" ref="I561:I591" si="196">SUM(G561:H561)</f>
        <v>589</v>
      </c>
      <c r="J561" s="241"/>
      <c r="K561" s="241">
        <f t="shared" ref="K561:K591" si="197">SUM(I561:J561)</f>
        <v>589</v>
      </c>
    </row>
    <row r="562" spans="1:11" x14ac:dyDescent="0.2">
      <c r="A562" s="157"/>
      <c r="B562" s="157"/>
      <c r="C562" s="145">
        <v>4017</v>
      </c>
      <c r="D562" s="185" t="s">
        <v>176</v>
      </c>
      <c r="E562" s="241">
        <v>58273</v>
      </c>
      <c r="F562" s="241"/>
      <c r="G562" s="241">
        <f t="shared" si="195"/>
        <v>58273</v>
      </c>
      <c r="H562" s="241"/>
      <c r="I562" s="241">
        <f t="shared" si="196"/>
        <v>58273</v>
      </c>
      <c r="J562" s="241"/>
      <c r="K562" s="241">
        <f t="shared" si="197"/>
        <v>58273</v>
      </c>
    </row>
    <row r="563" spans="1:11" x14ac:dyDescent="0.2">
      <c r="A563" s="157"/>
      <c r="B563" s="157"/>
      <c r="C563" s="145">
        <v>4019</v>
      </c>
      <c r="D563" s="185" t="s">
        <v>176</v>
      </c>
      <c r="E563" s="241">
        <v>3085</v>
      </c>
      <c r="F563" s="241"/>
      <c r="G563" s="241">
        <f t="shared" si="195"/>
        <v>3085</v>
      </c>
      <c r="H563" s="241"/>
      <c r="I563" s="241">
        <f t="shared" si="196"/>
        <v>3085</v>
      </c>
      <c r="J563" s="241"/>
      <c r="K563" s="241">
        <f t="shared" si="197"/>
        <v>3085</v>
      </c>
    </row>
    <row r="564" spans="1:11" x14ac:dyDescent="0.2">
      <c r="A564" s="157"/>
      <c r="B564" s="157"/>
      <c r="C564" s="145">
        <v>4047</v>
      </c>
      <c r="D564" s="185" t="s">
        <v>178</v>
      </c>
      <c r="E564" s="241">
        <v>7603</v>
      </c>
      <c r="F564" s="241"/>
      <c r="G564" s="241">
        <f t="shared" si="195"/>
        <v>7603</v>
      </c>
      <c r="H564" s="241"/>
      <c r="I564" s="241">
        <f t="shared" si="196"/>
        <v>7603</v>
      </c>
      <c r="J564" s="241"/>
      <c r="K564" s="241">
        <f t="shared" si="197"/>
        <v>7603</v>
      </c>
    </row>
    <row r="565" spans="1:11" x14ac:dyDescent="0.2">
      <c r="A565" s="157"/>
      <c r="B565" s="157"/>
      <c r="C565" s="145">
        <v>4049</v>
      </c>
      <c r="D565" s="185" t="s">
        <v>178</v>
      </c>
      <c r="E565" s="241">
        <v>403</v>
      </c>
      <c r="F565" s="241"/>
      <c r="G565" s="241">
        <f t="shared" si="195"/>
        <v>403</v>
      </c>
      <c r="H565" s="241"/>
      <c r="I565" s="241">
        <f t="shared" si="196"/>
        <v>403</v>
      </c>
      <c r="J565" s="241"/>
      <c r="K565" s="241">
        <f t="shared" si="197"/>
        <v>403</v>
      </c>
    </row>
    <row r="566" spans="1:11" x14ac:dyDescent="0.2">
      <c r="A566" s="157"/>
      <c r="B566" s="157"/>
      <c r="C566" s="145">
        <v>4117</v>
      </c>
      <c r="D566" s="185" t="s">
        <v>239</v>
      </c>
      <c r="E566" s="241">
        <v>14509</v>
      </c>
      <c r="F566" s="241"/>
      <c r="G566" s="241">
        <f t="shared" si="195"/>
        <v>14509</v>
      </c>
      <c r="H566" s="241"/>
      <c r="I566" s="241">
        <f t="shared" si="196"/>
        <v>14509</v>
      </c>
      <c r="J566" s="241"/>
      <c r="K566" s="241">
        <f t="shared" si="197"/>
        <v>14509</v>
      </c>
    </row>
    <row r="567" spans="1:11" x14ac:dyDescent="0.2">
      <c r="A567" s="157"/>
      <c r="B567" s="157"/>
      <c r="C567" s="145">
        <v>4119</v>
      </c>
      <c r="D567" s="185" t="s">
        <v>239</v>
      </c>
      <c r="E567" s="241">
        <v>769</v>
      </c>
      <c r="F567" s="241"/>
      <c r="G567" s="241">
        <f t="shared" si="195"/>
        <v>769</v>
      </c>
      <c r="H567" s="241"/>
      <c r="I567" s="241">
        <f t="shared" si="196"/>
        <v>769</v>
      </c>
      <c r="J567" s="241"/>
      <c r="K567" s="241">
        <f t="shared" si="197"/>
        <v>769</v>
      </c>
    </row>
    <row r="568" spans="1:11" x14ac:dyDescent="0.2">
      <c r="A568" s="157"/>
      <c r="B568" s="157"/>
      <c r="C568" s="145">
        <v>4127</v>
      </c>
      <c r="D568" s="185" t="s">
        <v>180</v>
      </c>
      <c r="E568" s="241">
        <v>1614</v>
      </c>
      <c r="F568" s="241"/>
      <c r="G568" s="241">
        <f t="shared" si="195"/>
        <v>1614</v>
      </c>
      <c r="H568" s="241"/>
      <c r="I568" s="241">
        <f t="shared" si="196"/>
        <v>1614</v>
      </c>
      <c r="J568" s="241"/>
      <c r="K568" s="241">
        <f t="shared" si="197"/>
        <v>1614</v>
      </c>
    </row>
    <row r="569" spans="1:11" x14ac:dyDescent="0.2">
      <c r="A569" s="157"/>
      <c r="B569" s="157"/>
      <c r="C569" s="145">
        <v>4129</v>
      </c>
      <c r="D569" s="185" t="s">
        <v>180</v>
      </c>
      <c r="E569" s="241">
        <v>86</v>
      </c>
      <c r="F569" s="241"/>
      <c r="G569" s="241">
        <f t="shared" si="195"/>
        <v>86</v>
      </c>
      <c r="H569" s="241"/>
      <c r="I569" s="241">
        <f t="shared" si="196"/>
        <v>86</v>
      </c>
      <c r="J569" s="241"/>
      <c r="K569" s="241">
        <f t="shared" si="197"/>
        <v>86</v>
      </c>
    </row>
    <row r="570" spans="1:11" x14ac:dyDescent="0.2">
      <c r="A570" s="157"/>
      <c r="B570" s="157"/>
      <c r="C570" s="145">
        <v>4177</v>
      </c>
      <c r="D570" s="185" t="s">
        <v>153</v>
      </c>
      <c r="E570" s="241">
        <v>3799</v>
      </c>
      <c r="F570" s="241"/>
      <c r="G570" s="241">
        <f t="shared" si="195"/>
        <v>3799</v>
      </c>
      <c r="H570" s="241"/>
      <c r="I570" s="241">
        <f t="shared" si="196"/>
        <v>3799</v>
      </c>
      <c r="J570" s="241"/>
      <c r="K570" s="241">
        <f t="shared" si="197"/>
        <v>3799</v>
      </c>
    </row>
    <row r="571" spans="1:11" x14ac:dyDescent="0.2">
      <c r="A571" s="157"/>
      <c r="B571" s="157"/>
      <c r="C571" s="145">
        <v>4179</v>
      </c>
      <c r="D571" s="185" t="s">
        <v>153</v>
      </c>
      <c r="E571" s="241">
        <v>202</v>
      </c>
      <c r="F571" s="241"/>
      <c r="G571" s="241">
        <f t="shared" si="195"/>
        <v>202</v>
      </c>
      <c r="H571" s="241"/>
      <c r="I571" s="241">
        <f t="shared" si="196"/>
        <v>202</v>
      </c>
      <c r="J571" s="241"/>
      <c r="K571" s="241">
        <f t="shared" si="197"/>
        <v>202</v>
      </c>
    </row>
    <row r="572" spans="1:11" x14ac:dyDescent="0.2">
      <c r="A572" s="157"/>
      <c r="B572" s="157"/>
      <c r="C572" s="145">
        <v>4217</v>
      </c>
      <c r="D572" s="185" t="s">
        <v>154</v>
      </c>
      <c r="E572" s="241">
        <v>10115</v>
      </c>
      <c r="F572" s="241"/>
      <c r="G572" s="241">
        <f t="shared" si="195"/>
        <v>10115</v>
      </c>
      <c r="H572" s="241"/>
      <c r="I572" s="241">
        <f t="shared" si="196"/>
        <v>10115</v>
      </c>
      <c r="J572" s="241"/>
      <c r="K572" s="241">
        <f t="shared" si="197"/>
        <v>10115</v>
      </c>
    </row>
    <row r="573" spans="1:11" x14ac:dyDescent="0.2">
      <c r="A573" s="157"/>
      <c r="B573" s="157"/>
      <c r="C573" s="145">
        <v>4219</v>
      </c>
      <c r="D573" s="185" t="s">
        <v>154</v>
      </c>
      <c r="E573" s="241">
        <v>536</v>
      </c>
      <c r="F573" s="241"/>
      <c r="G573" s="241">
        <f t="shared" si="195"/>
        <v>536</v>
      </c>
      <c r="H573" s="241"/>
      <c r="I573" s="241">
        <f t="shared" si="196"/>
        <v>536</v>
      </c>
      <c r="J573" s="241"/>
      <c r="K573" s="241">
        <f t="shared" si="197"/>
        <v>536</v>
      </c>
    </row>
    <row r="574" spans="1:11" x14ac:dyDescent="0.2">
      <c r="A574" s="157"/>
      <c r="B574" s="157"/>
      <c r="C574" s="145">
        <v>4267</v>
      </c>
      <c r="D574" s="185" t="s">
        <v>155</v>
      </c>
      <c r="E574" s="241">
        <v>1425</v>
      </c>
      <c r="F574" s="241"/>
      <c r="G574" s="241">
        <f t="shared" si="195"/>
        <v>1425</v>
      </c>
      <c r="H574" s="241"/>
      <c r="I574" s="241">
        <f t="shared" si="196"/>
        <v>1425</v>
      </c>
      <c r="J574" s="241"/>
      <c r="K574" s="241">
        <f t="shared" si="197"/>
        <v>1425</v>
      </c>
    </row>
    <row r="575" spans="1:11" x14ac:dyDescent="0.2">
      <c r="A575" s="157"/>
      <c r="B575" s="157"/>
      <c r="C575" s="145">
        <v>4269</v>
      </c>
      <c r="D575" s="185" t="s">
        <v>155</v>
      </c>
      <c r="E575" s="241">
        <v>76</v>
      </c>
      <c r="F575" s="241"/>
      <c r="G575" s="241">
        <f t="shared" si="195"/>
        <v>76</v>
      </c>
      <c r="H575" s="241"/>
      <c r="I575" s="241">
        <f t="shared" si="196"/>
        <v>76</v>
      </c>
      <c r="J575" s="241"/>
      <c r="K575" s="241">
        <f t="shared" si="197"/>
        <v>76</v>
      </c>
    </row>
    <row r="576" spans="1:11" x14ac:dyDescent="0.2">
      <c r="A576" s="157"/>
      <c r="B576" s="157"/>
      <c r="C576" s="145">
        <v>4277</v>
      </c>
      <c r="D576" s="185" t="s">
        <v>156</v>
      </c>
      <c r="E576" s="241">
        <v>475</v>
      </c>
      <c r="F576" s="241"/>
      <c r="G576" s="241">
        <f t="shared" si="195"/>
        <v>475</v>
      </c>
      <c r="H576" s="241"/>
      <c r="I576" s="241">
        <f t="shared" si="196"/>
        <v>475</v>
      </c>
      <c r="J576" s="241"/>
      <c r="K576" s="241">
        <f t="shared" si="197"/>
        <v>475</v>
      </c>
    </row>
    <row r="577" spans="1:11" x14ac:dyDescent="0.2">
      <c r="A577" s="157"/>
      <c r="B577" s="157"/>
      <c r="C577" s="145">
        <v>4279</v>
      </c>
      <c r="D577" s="185" t="s">
        <v>156</v>
      </c>
      <c r="E577" s="241">
        <v>26</v>
      </c>
      <c r="F577" s="241"/>
      <c r="G577" s="241">
        <f t="shared" si="195"/>
        <v>26</v>
      </c>
      <c r="H577" s="241"/>
      <c r="I577" s="241">
        <f t="shared" si="196"/>
        <v>26</v>
      </c>
      <c r="J577" s="241"/>
      <c r="K577" s="241">
        <f t="shared" si="197"/>
        <v>26</v>
      </c>
    </row>
    <row r="578" spans="1:11" x14ac:dyDescent="0.2">
      <c r="A578" s="157"/>
      <c r="B578" s="157"/>
      <c r="C578" s="145">
        <v>4287</v>
      </c>
      <c r="D578" s="185" t="s">
        <v>182</v>
      </c>
      <c r="E578" s="241">
        <v>200</v>
      </c>
      <c r="F578" s="241"/>
      <c r="G578" s="241">
        <f t="shared" si="195"/>
        <v>200</v>
      </c>
      <c r="H578" s="241"/>
      <c r="I578" s="241">
        <f t="shared" si="196"/>
        <v>200</v>
      </c>
      <c r="J578" s="241"/>
      <c r="K578" s="241">
        <f t="shared" si="197"/>
        <v>200</v>
      </c>
    </row>
    <row r="579" spans="1:11" x14ac:dyDescent="0.2">
      <c r="A579" s="157"/>
      <c r="B579" s="157"/>
      <c r="C579" s="145">
        <v>4289</v>
      </c>
      <c r="D579" s="185" t="s">
        <v>182</v>
      </c>
      <c r="E579" s="241">
        <v>11</v>
      </c>
      <c r="F579" s="241"/>
      <c r="G579" s="241">
        <f t="shared" si="195"/>
        <v>11</v>
      </c>
      <c r="H579" s="241"/>
      <c r="I579" s="241">
        <f t="shared" si="196"/>
        <v>11</v>
      </c>
      <c r="J579" s="241"/>
      <c r="K579" s="241">
        <f t="shared" si="197"/>
        <v>11</v>
      </c>
    </row>
    <row r="580" spans="1:11" x14ac:dyDescent="0.2">
      <c r="A580" s="157"/>
      <c r="B580" s="157"/>
      <c r="C580" s="145">
        <v>4307</v>
      </c>
      <c r="D580" s="185" t="s">
        <v>145</v>
      </c>
      <c r="E580" s="241">
        <v>132825</v>
      </c>
      <c r="F580" s="241"/>
      <c r="G580" s="241">
        <f t="shared" si="195"/>
        <v>132825</v>
      </c>
      <c r="H580" s="241"/>
      <c r="I580" s="241">
        <f t="shared" si="196"/>
        <v>132825</v>
      </c>
      <c r="J580" s="241"/>
      <c r="K580" s="241">
        <f t="shared" si="197"/>
        <v>132825</v>
      </c>
    </row>
    <row r="581" spans="1:11" x14ac:dyDescent="0.2">
      <c r="A581" s="157"/>
      <c r="B581" s="157"/>
      <c r="C581" s="145">
        <v>4309</v>
      </c>
      <c r="D581" s="185" t="s">
        <v>145</v>
      </c>
      <c r="E581" s="241">
        <v>7022</v>
      </c>
      <c r="F581" s="241"/>
      <c r="G581" s="241">
        <f t="shared" si="195"/>
        <v>7022</v>
      </c>
      <c r="H581" s="241"/>
      <c r="I581" s="241">
        <f t="shared" si="196"/>
        <v>7022</v>
      </c>
      <c r="J581" s="241"/>
      <c r="K581" s="241">
        <f t="shared" si="197"/>
        <v>7022</v>
      </c>
    </row>
    <row r="582" spans="1:11" hidden="1" x14ac:dyDescent="0.2">
      <c r="A582" s="157"/>
      <c r="B582" s="157"/>
      <c r="C582" s="145">
        <v>4357</v>
      </c>
      <c r="D582" s="185" t="s">
        <v>183</v>
      </c>
      <c r="E582" s="241"/>
      <c r="F582" s="241"/>
      <c r="G582" s="241">
        <f t="shared" si="195"/>
        <v>0</v>
      </c>
      <c r="H582" s="241"/>
      <c r="I582" s="241">
        <f t="shared" si="196"/>
        <v>0</v>
      </c>
      <c r="J582" s="241"/>
      <c r="K582" s="241">
        <f t="shared" si="197"/>
        <v>0</v>
      </c>
    </row>
    <row r="583" spans="1:11" hidden="1" x14ac:dyDescent="0.2">
      <c r="A583" s="157"/>
      <c r="B583" s="157"/>
      <c r="C583" s="145">
        <v>4359</v>
      </c>
      <c r="D583" s="185" t="s">
        <v>183</v>
      </c>
      <c r="E583" s="241"/>
      <c r="F583" s="241"/>
      <c r="G583" s="241">
        <f t="shared" si="195"/>
        <v>0</v>
      </c>
      <c r="H583" s="241"/>
      <c r="I583" s="241">
        <f t="shared" si="196"/>
        <v>0</v>
      </c>
      <c r="J583" s="241"/>
      <c r="K583" s="241">
        <f t="shared" si="197"/>
        <v>0</v>
      </c>
    </row>
    <row r="584" spans="1:11" x14ac:dyDescent="0.2">
      <c r="A584" s="157"/>
      <c r="B584" s="157"/>
      <c r="C584" s="145">
        <v>4367</v>
      </c>
      <c r="D584" s="185" t="s">
        <v>240</v>
      </c>
      <c r="E584" s="241">
        <v>1318</v>
      </c>
      <c r="F584" s="241"/>
      <c r="G584" s="241">
        <f t="shared" si="195"/>
        <v>1318</v>
      </c>
      <c r="H584" s="241"/>
      <c r="I584" s="241">
        <f t="shared" si="196"/>
        <v>1318</v>
      </c>
      <c r="J584" s="241"/>
      <c r="K584" s="241">
        <f t="shared" si="197"/>
        <v>1318</v>
      </c>
    </row>
    <row r="585" spans="1:11" x14ac:dyDescent="0.2">
      <c r="A585" s="157"/>
      <c r="B585" s="157"/>
      <c r="C585" s="145">
        <v>4369</v>
      </c>
      <c r="D585" s="185" t="s">
        <v>240</v>
      </c>
      <c r="E585" s="241">
        <v>71</v>
      </c>
      <c r="F585" s="241"/>
      <c r="G585" s="241">
        <f t="shared" si="195"/>
        <v>71</v>
      </c>
      <c r="H585" s="241"/>
      <c r="I585" s="241">
        <f t="shared" si="196"/>
        <v>71</v>
      </c>
      <c r="J585" s="241"/>
      <c r="K585" s="241">
        <f t="shared" si="197"/>
        <v>71</v>
      </c>
    </row>
    <row r="586" spans="1:11" x14ac:dyDescent="0.2">
      <c r="A586" s="157"/>
      <c r="B586" s="157"/>
      <c r="C586" s="145">
        <v>4437</v>
      </c>
      <c r="D586" s="185" t="s">
        <v>157</v>
      </c>
      <c r="E586" s="241">
        <v>285</v>
      </c>
      <c r="F586" s="241"/>
      <c r="G586" s="241">
        <f t="shared" si="195"/>
        <v>285</v>
      </c>
      <c r="H586" s="241"/>
      <c r="I586" s="241">
        <f t="shared" si="196"/>
        <v>285</v>
      </c>
      <c r="J586" s="241"/>
      <c r="K586" s="241">
        <f t="shared" si="197"/>
        <v>285</v>
      </c>
    </row>
    <row r="587" spans="1:11" x14ac:dyDescent="0.2">
      <c r="A587" s="157"/>
      <c r="B587" s="157"/>
      <c r="C587" s="145">
        <v>4439</v>
      </c>
      <c r="D587" s="185" t="s">
        <v>157</v>
      </c>
      <c r="E587" s="241">
        <v>16</v>
      </c>
      <c r="F587" s="241"/>
      <c r="G587" s="241">
        <f t="shared" si="195"/>
        <v>16</v>
      </c>
      <c r="H587" s="241"/>
      <c r="I587" s="241">
        <f t="shared" si="196"/>
        <v>16</v>
      </c>
      <c r="J587" s="241"/>
      <c r="K587" s="241">
        <f t="shared" si="197"/>
        <v>16</v>
      </c>
    </row>
    <row r="588" spans="1:11" x14ac:dyDescent="0.2">
      <c r="A588" s="157"/>
      <c r="B588" s="157"/>
      <c r="C588" s="145">
        <v>4447</v>
      </c>
      <c r="D588" s="185" t="s">
        <v>186</v>
      </c>
      <c r="E588" s="241">
        <v>1140</v>
      </c>
      <c r="F588" s="241"/>
      <c r="G588" s="241">
        <f t="shared" si="195"/>
        <v>1140</v>
      </c>
      <c r="H588" s="241"/>
      <c r="I588" s="241">
        <f t="shared" si="196"/>
        <v>1140</v>
      </c>
      <c r="J588" s="241"/>
      <c r="K588" s="241">
        <f t="shared" si="197"/>
        <v>1140</v>
      </c>
    </row>
    <row r="589" spans="1:11" x14ac:dyDescent="0.2">
      <c r="A589" s="157"/>
      <c r="B589" s="157"/>
      <c r="C589" s="145">
        <v>4449</v>
      </c>
      <c r="D589" s="185" t="s">
        <v>186</v>
      </c>
      <c r="E589" s="241">
        <v>61</v>
      </c>
      <c r="F589" s="241"/>
      <c r="G589" s="241">
        <f t="shared" si="195"/>
        <v>61</v>
      </c>
      <c r="H589" s="241"/>
      <c r="I589" s="241">
        <f t="shared" si="196"/>
        <v>61</v>
      </c>
      <c r="J589" s="241"/>
      <c r="K589" s="241">
        <f t="shared" si="197"/>
        <v>61</v>
      </c>
    </row>
    <row r="590" spans="1:11" x14ac:dyDescent="0.2">
      <c r="A590" s="157"/>
      <c r="B590" s="157"/>
      <c r="C590" s="145">
        <v>4707</v>
      </c>
      <c r="D590" s="185" t="s">
        <v>173</v>
      </c>
      <c r="E590" s="241">
        <v>143</v>
      </c>
      <c r="F590" s="241"/>
      <c r="G590" s="241">
        <f t="shared" si="195"/>
        <v>143</v>
      </c>
      <c r="H590" s="241"/>
      <c r="I590" s="241">
        <f t="shared" si="196"/>
        <v>143</v>
      </c>
      <c r="J590" s="241"/>
      <c r="K590" s="241">
        <f t="shared" si="197"/>
        <v>143</v>
      </c>
    </row>
    <row r="591" spans="1:11" x14ac:dyDescent="0.2">
      <c r="A591" s="157"/>
      <c r="B591" s="157"/>
      <c r="C591" s="145">
        <v>4709</v>
      </c>
      <c r="D591" s="185" t="s">
        <v>173</v>
      </c>
      <c r="E591" s="241">
        <v>8</v>
      </c>
      <c r="F591" s="241"/>
      <c r="G591" s="241">
        <f t="shared" si="195"/>
        <v>8</v>
      </c>
      <c r="H591" s="241"/>
      <c r="I591" s="241">
        <f t="shared" si="196"/>
        <v>8</v>
      </c>
      <c r="J591" s="241"/>
      <c r="K591" s="241">
        <f t="shared" si="197"/>
        <v>8</v>
      </c>
    </row>
    <row r="592" spans="1:11" ht="12.95" customHeight="1" x14ac:dyDescent="0.2">
      <c r="A592" s="167"/>
      <c r="B592" s="167">
        <v>85295</v>
      </c>
      <c r="C592" s="146"/>
      <c r="D592" s="188" t="s">
        <v>65</v>
      </c>
      <c r="E592" s="234">
        <f t="shared" ref="E592:K592" si="198">SUM(E593+E595)</f>
        <v>5197379</v>
      </c>
      <c r="F592" s="234">
        <f t="shared" si="198"/>
        <v>0</v>
      </c>
      <c r="G592" s="234">
        <f t="shared" si="198"/>
        <v>5197379</v>
      </c>
      <c r="H592" s="234">
        <f t="shared" si="198"/>
        <v>29921</v>
      </c>
      <c r="I592" s="234">
        <f t="shared" si="198"/>
        <v>5227300</v>
      </c>
      <c r="J592" s="234">
        <f t="shared" si="198"/>
        <v>402</v>
      </c>
      <c r="K592" s="234">
        <f t="shared" si="198"/>
        <v>5227702</v>
      </c>
    </row>
    <row r="593" spans="1:11" s="127" customFormat="1" ht="25.5" customHeight="1" x14ac:dyDescent="0.2">
      <c r="A593" s="168"/>
      <c r="B593" s="207"/>
      <c r="C593" s="295" t="s">
        <v>294</v>
      </c>
      <c r="D593" s="296"/>
      <c r="E593" s="228">
        <f t="shared" ref="E593:K593" si="199">SUM(E594)</f>
        <v>170000</v>
      </c>
      <c r="F593" s="228">
        <f t="shared" si="199"/>
        <v>0</v>
      </c>
      <c r="G593" s="228">
        <f t="shared" si="199"/>
        <v>170000</v>
      </c>
      <c r="H593" s="228">
        <f t="shared" si="199"/>
        <v>29921</v>
      </c>
      <c r="I593" s="228">
        <f t="shared" si="199"/>
        <v>199921</v>
      </c>
      <c r="J593" s="228">
        <f t="shared" si="199"/>
        <v>402</v>
      </c>
      <c r="K593" s="228">
        <f t="shared" si="199"/>
        <v>200323</v>
      </c>
    </row>
    <row r="594" spans="1:11" ht="12.95" customHeight="1" x14ac:dyDescent="0.2">
      <c r="A594" s="157"/>
      <c r="B594" s="157"/>
      <c r="C594" s="145">
        <v>4300</v>
      </c>
      <c r="D594" s="185" t="s">
        <v>145</v>
      </c>
      <c r="E594" s="229">
        <v>170000</v>
      </c>
      <c r="F594" s="229"/>
      <c r="G594" s="229">
        <f>SUM(E594:F594)</f>
        <v>170000</v>
      </c>
      <c r="H594" s="229">
        <f>40974-6000+931-5984</f>
        <v>29921</v>
      </c>
      <c r="I594" s="229">
        <f>SUM(G594:H594)</f>
        <v>199921</v>
      </c>
      <c r="J594" s="229">
        <v>402</v>
      </c>
      <c r="K594" s="229">
        <f>SUM(I594:J594)</f>
        <v>200323</v>
      </c>
    </row>
    <row r="595" spans="1:11" ht="30" customHeight="1" x14ac:dyDescent="0.2">
      <c r="A595" s="157"/>
      <c r="B595" s="157"/>
      <c r="C595" s="295" t="s">
        <v>305</v>
      </c>
      <c r="D595" s="296"/>
      <c r="E595" s="235">
        <f t="shared" ref="E595:K595" si="200">SUM(E596:E597)</f>
        <v>5027379</v>
      </c>
      <c r="F595" s="235">
        <f t="shared" si="200"/>
        <v>0</v>
      </c>
      <c r="G595" s="235">
        <f t="shared" si="200"/>
        <v>5027379</v>
      </c>
      <c r="H595" s="235">
        <f t="shared" si="200"/>
        <v>0</v>
      </c>
      <c r="I595" s="235">
        <f t="shared" si="200"/>
        <v>5027379</v>
      </c>
      <c r="J595" s="235">
        <f t="shared" si="200"/>
        <v>0</v>
      </c>
      <c r="K595" s="235">
        <f t="shared" si="200"/>
        <v>5027379</v>
      </c>
    </row>
    <row r="596" spans="1:11" ht="12.95" customHeight="1" x14ac:dyDescent="0.2">
      <c r="A596" s="157"/>
      <c r="B596" s="157"/>
      <c r="C596" s="156">
        <v>6057</v>
      </c>
      <c r="D596" s="217" t="s">
        <v>159</v>
      </c>
      <c r="E596" s="229">
        <v>4273272</v>
      </c>
      <c r="F596" s="229"/>
      <c r="G596" s="229">
        <f>SUM(E596:F596)</f>
        <v>4273272</v>
      </c>
      <c r="H596" s="229"/>
      <c r="I596" s="229">
        <f>SUM(G596:H596)</f>
        <v>4273272</v>
      </c>
      <c r="J596" s="229"/>
      <c r="K596" s="229">
        <f>SUM(I596:J596)</f>
        <v>4273272</v>
      </c>
    </row>
    <row r="597" spans="1:11" ht="12.95" customHeight="1" x14ac:dyDescent="0.2">
      <c r="A597" s="157"/>
      <c r="B597" s="157"/>
      <c r="C597" s="145">
        <v>6059</v>
      </c>
      <c r="D597" s="185" t="s">
        <v>159</v>
      </c>
      <c r="E597" s="229">
        <v>754107</v>
      </c>
      <c r="F597" s="229"/>
      <c r="G597" s="229">
        <f>SUM(E597:F597)</f>
        <v>754107</v>
      </c>
      <c r="H597" s="229"/>
      <c r="I597" s="229">
        <f>SUM(G597:H597)</f>
        <v>754107</v>
      </c>
      <c r="J597" s="229"/>
      <c r="K597" s="229">
        <f>SUM(I597:J597)</f>
        <v>754107</v>
      </c>
    </row>
    <row r="598" spans="1:11" ht="12.95" customHeight="1" x14ac:dyDescent="0.2">
      <c r="A598" s="170">
        <v>853</v>
      </c>
      <c r="B598" s="170"/>
      <c r="C598" s="143"/>
      <c r="D598" s="189" t="s">
        <v>241</v>
      </c>
      <c r="E598" s="236">
        <f t="shared" ref="E598:K598" si="201">SUM(E599,E605,E621,E645)</f>
        <v>3166942</v>
      </c>
      <c r="F598" s="236">
        <f t="shared" si="201"/>
        <v>343647</v>
      </c>
      <c r="G598" s="236">
        <f t="shared" si="201"/>
        <v>3510589</v>
      </c>
      <c r="H598" s="236">
        <f t="shared" si="201"/>
        <v>47048</v>
      </c>
      <c r="I598" s="236">
        <f t="shared" si="201"/>
        <v>3557637</v>
      </c>
      <c r="J598" s="236">
        <f t="shared" si="201"/>
        <v>0</v>
      </c>
      <c r="K598" s="236">
        <f t="shared" si="201"/>
        <v>3557637</v>
      </c>
    </row>
    <row r="599" spans="1:11" ht="12.95" customHeight="1" x14ac:dyDescent="0.2">
      <c r="A599" s="175"/>
      <c r="B599" s="175">
        <v>85311</v>
      </c>
      <c r="C599" s="149"/>
      <c r="D599" s="198" t="s">
        <v>121</v>
      </c>
      <c r="E599" s="245">
        <f t="shared" ref="E599:K599" si="202">SUM(E600+E602)</f>
        <v>55801</v>
      </c>
      <c r="F599" s="245">
        <f t="shared" si="202"/>
        <v>0</v>
      </c>
      <c r="G599" s="245">
        <f t="shared" si="202"/>
        <v>55801</v>
      </c>
      <c r="H599" s="245">
        <f t="shared" si="202"/>
        <v>0</v>
      </c>
      <c r="I599" s="245">
        <f t="shared" si="202"/>
        <v>55801</v>
      </c>
      <c r="J599" s="245">
        <f t="shared" si="202"/>
        <v>0</v>
      </c>
      <c r="K599" s="245">
        <f t="shared" si="202"/>
        <v>55801</v>
      </c>
    </row>
    <row r="600" spans="1:11" s="127" customFormat="1" ht="12.95" customHeight="1" x14ac:dyDescent="0.2">
      <c r="A600" s="176"/>
      <c r="B600" s="152"/>
      <c r="C600" s="299" t="s">
        <v>167</v>
      </c>
      <c r="D600" s="300"/>
      <c r="E600" s="246">
        <f t="shared" ref="E600:K600" si="203">SUM(E601)</f>
        <v>41100</v>
      </c>
      <c r="F600" s="246">
        <f t="shared" si="203"/>
        <v>0</v>
      </c>
      <c r="G600" s="246">
        <f t="shared" si="203"/>
        <v>41100</v>
      </c>
      <c r="H600" s="246">
        <f t="shared" si="203"/>
        <v>0</v>
      </c>
      <c r="I600" s="246">
        <f t="shared" si="203"/>
        <v>41100</v>
      </c>
      <c r="J600" s="246">
        <f t="shared" si="203"/>
        <v>0</v>
      </c>
      <c r="K600" s="246">
        <f t="shared" si="203"/>
        <v>41100</v>
      </c>
    </row>
    <row r="601" spans="1:11" x14ac:dyDescent="0.2">
      <c r="A601" s="177"/>
      <c r="B601" s="177"/>
      <c r="C601" s="150">
        <v>2580</v>
      </c>
      <c r="D601" s="199" t="s">
        <v>242</v>
      </c>
      <c r="E601" s="238">
        <v>41100</v>
      </c>
      <c r="F601" s="238"/>
      <c r="G601" s="238">
        <f>SUM(E601:F601)</f>
        <v>41100</v>
      </c>
      <c r="H601" s="238"/>
      <c r="I601" s="238">
        <f>SUM(G601:H601)</f>
        <v>41100</v>
      </c>
      <c r="J601" s="238"/>
      <c r="K601" s="238">
        <f>SUM(I601:J601)</f>
        <v>41100</v>
      </c>
    </row>
    <row r="602" spans="1:11" s="127" customFormat="1" ht="33" customHeight="1" x14ac:dyDescent="0.2">
      <c r="A602" s="176"/>
      <c r="B602" s="215"/>
      <c r="C602" s="317" t="s">
        <v>162</v>
      </c>
      <c r="D602" s="318"/>
      <c r="E602" s="246">
        <f t="shared" ref="E602:K602" si="204">SUM(E603:E604)</f>
        <v>14701</v>
      </c>
      <c r="F602" s="246">
        <f t="shared" si="204"/>
        <v>0</v>
      </c>
      <c r="G602" s="246">
        <f t="shared" si="204"/>
        <v>14701</v>
      </c>
      <c r="H602" s="246">
        <f t="shared" si="204"/>
        <v>0</v>
      </c>
      <c r="I602" s="246">
        <f t="shared" si="204"/>
        <v>14701</v>
      </c>
      <c r="J602" s="246">
        <f t="shared" si="204"/>
        <v>0</v>
      </c>
      <c r="K602" s="246">
        <f t="shared" si="204"/>
        <v>14701</v>
      </c>
    </row>
    <row r="603" spans="1:11" x14ac:dyDescent="0.2">
      <c r="A603" s="177"/>
      <c r="B603" s="177"/>
      <c r="C603" s="150">
        <v>3117</v>
      </c>
      <c r="D603" s="199" t="s">
        <v>230</v>
      </c>
      <c r="E603" s="238">
        <v>13961</v>
      </c>
      <c r="F603" s="238"/>
      <c r="G603" s="238">
        <f>SUM(E603:F603)</f>
        <v>13961</v>
      </c>
      <c r="H603" s="238"/>
      <c r="I603" s="238">
        <f>SUM(G603:H603)</f>
        <v>13961</v>
      </c>
      <c r="J603" s="238"/>
      <c r="K603" s="238">
        <f>SUM(I603:J603)</f>
        <v>13961</v>
      </c>
    </row>
    <row r="604" spans="1:11" x14ac:dyDescent="0.2">
      <c r="A604" s="177"/>
      <c r="B604" s="177"/>
      <c r="C604" s="150">
        <v>3119</v>
      </c>
      <c r="D604" s="199" t="s">
        <v>230</v>
      </c>
      <c r="E604" s="238">
        <v>740</v>
      </c>
      <c r="F604" s="238"/>
      <c r="G604" s="238">
        <f>SUM(E604:F604)</f>
        <v>740</v>
      </c>
      <c r="H604" s="238"/>
      <c r="I604" s="238">
        <f>SUM(G604:H604)</f>
        <v>740</v>
      </c>
      <c r="J604" s="238"/>
      <c r="K604" s="238">
        <f>SUM(I604:J604)</f>
        <v>740</v>
      </c>
    </row>
    <row r="605" spans="1:11" ht="12.95" customHeight="1" x14ac:dyDescent="0.2">
      <c r="A605" s="167"/>
      <c r="B605" s="167">
        <v>85321</v>
      </c>
      <c r="C605" s="146"/>
      <c r="D605" s="188" t="s">
        <v>243</v>
      </c>
      <c r="E605" s="234">
        <f t="shared" ref="E605:K605" si="205">SUM(E606+E612)</f>
        <v>192480</v>
      </c>
      <c r="F605" s="234">
        <f t="shared" si="205"/>
        <v>0</v>
      </c>
      <c r="G605" s="234">
        <f t="shared" si="205"/>
        <v>192480</v>
      </c>
      <c r="H605" s="234">
        <f t="shared" si="205"/>
        <v>-7086</v>
      </c>
      <c r="I605" s="234">
        <f t="shared" si="205"/>
        <v>185394</v>
      </c>
      <c r="J605" s="234">
        <f t="shared" si="205"/>
        <v>0</v>
      </c>
      <c r="K605" s="234">
        <f t="shared" si="205"/>
        <v>185394</v>
      </c>
    </row>
    <row r="606" spans="1:11" s="127" customFormat="1" ht="12.95" customHeight="1" x14ac:dyDescent="0.2">
      <c r="A606" s="168"/>
      <c r="B606" s="152"/>
      <c r="C606" s="299" t="s">
        <v>152</v>
      </c>
      <c r="D606" s="300"/>
      <c r="E606" s="228">
        <f t="shared" ref="E606:K606" si="206">SUM(E607:E611)</f>
        <v>162000</v>
      </c>
      <c r="F606" s="228">
        <f t="shared" si="206"/>
        <v>400</v>
      </c>
      <c r="G606" s="228">
        <f t="shared" si="206"/>
        <v>162400</v>
      </c>
      <c r="H606" s="228">
        <f t="shared" si="206"/>
        <v>-6068</v>
      </c>
      <c r="I606" s="228">
        <f t="shared" si="206"/>
        <v>156332</v>
      </c>
      <c r="J606" s="228">
        <f t="shared" si="206"/>
        <v>0</v>
      </c>
      <c r="K606" s="228">
        <f t="shared" si="206"/>
        <v>156332</v>
      </c>
    </row>
    <row r="607" spans="1:11" ht="12.95" customHeight="1" x14ac:dyDescent="0.2">
      <c r="A607" s="157"/>
      <c r="B607" s="157"/>
      <c r="C607" s="144">
        <v>4010</v>
      </c>
      <c r="D607" s="185" t="s">
        <v>176</v>
      </c>
      <c r="E607" s="238">
        <v>64940</v>
      </c>
      <c r="F607" s="238"/>
      <c r="G607" s="238">
        <f>SUM(E607:F607)</f>
        <v>64940</v>
      </c>
      <c r="H607" s="238"/>
      <c r="I607" s="238">
        <f>SUM(G607:H607)</f>
        <v>64940</v>
      </c>
      <c r="J607" s="238"/>
      <c r="K607" s="238">
        <f>SUM(I607:J607)</f>
        <v>64940</v>
      </c>
    </row>
    <row r="608" spans="1:11" ht="12.95" customHeight="1" x14ac:dyDescent="0.2">
      <c r="A608" s="157"/>
      <c r="B608" s="157"/>
      <c r="C608" s="144">
        <v>4040</v>
      </c>
      <c r="D608" s="185" t="s">
        <v>178</v>
      </c>
      <c r="E608" s="238">
        <v>4908</v>
      </c>
      <c r="F608" s="238">
        <v>400</v>
      </c>
      <c r="G608" s="238">
        <f>SUM(E608:F608)</f>
        <v>5308</v>
      </c>
      <c r="H608" s="238"/>
      <c r="I608" s="238">
        <f>SUM(G608:H608)</f>
        <v>5308</v>
      </c>
      <c r="J608" s="238"/>
      <c r="K608" s="238">
        <f>SUM(I608:J608)</f>
        <v>5308</v>
      </c>
    </row>
    <row r="609" spans="1:11" ht="12.95" customHeight="1" x14ac:dyDescent="0.2">
      <c r="A609" s="157"/>
      <c r="B609" s="157"/>
      <c r="C609" s="144">
        <v>4110</v>
      </c>
      <c r="D609" s="185" t="s">
        <v>179</v>
      </c>
      <c r="E609" s="238">
        <v>13496</v>
      </c>
      <c r="F609" s="238"/>
      <c r="G609" s="238">
        <f>SUM(E609:F609)</f>
        <v>13496</v>
      </c>
      <c r="H609" s="238"/>
      <c r="I609" s="238">
        <f>SUM(G609:H609)</f>
        <v>13496</v>
      </c>
      <c r="J609" s="238"/>
      <c r="K609" s="238">
        <f>SUM(I609:J609)</f>
        <v>13496</v>
      </c>
    </row>
    <row r="610" spans="1:11" ht="12.95" customHeight="1" x14ac:dyDescent="0.2">
      <c r="A610" s="157"/>
      <c r="B610" s="157"/>
      <c r="C610" s="144">
        <v>4120</v>
      </c>
      <c r="D610" s="185" t="s">
        <v>180</v>
      </c>
      <c r="E610" s="238">
        <v>663</v>
      </c>
      <c r="F610" s="238"/>
      <c r="G610" s="238">
        <f>SUM(E610:F610)</f>
        <v>663</v>
      </c>
      <c r="H610" s="238"/>
      <c r="I610" s="238">
        <f>SUM(G610:H610)</f>
        <v>663</v>
      </c>
      <c r="J610" s="238"/>
      <c r="K610" s="238">
        <f>SUM(I610:J610)</f>
        <v>663</v>
      </c>
    </row>
    <row r="611" spans="1:11" ht="12.95" customHeight="1" x14ac:dyDescent="0.2">
      <c r="A611" s="157"/>
      <c r="B611" s="157"/>
      <c r="C611" s="144">
        <v>4170</v>
      </c>
      <c r="D611" s="192" t="s">
        <v>153</v>
      </c>
      <c r="E611" s="238">
        <v>77993</v>
      </c>
      <c r="F611" s="238"/>
      <c r="G611" s="238">
        <f>SUM(E611:F611)</f>
        <v>77993</v>
      </c>
      <c r="H611" s="238">
        <f>-6068</f>
        <v>-6068</v>
      </c>
      <c r="I611" s="238">
        <f>SUM(G611:H611)</f>
        <v>71925</v>
      </c>
      <c r="J611" s="238"/>
      <c r="K611" s="238">
        <f>SUM(I611:J611)</f>
        <v>71925</v>
      </c>
    </row>
    <row r="612" spans="1:11" s="127" customFormat="1" ht="25.5" customHeight="1" x14ac:dyDescent="0.2">
      <c r="A612" s="168"/>
      <c r="B612" s="207"/>
      <c r="C612" s="295" t="s">
        <v>294</v>
      </c>
      <c r="D612" s="296"/>
      <c r="E612" s="246">
        <f t="shared" ref="E612:K612" si="207">SUM(E613:E620)</f>
        <v>30480</v>
      </c>
      <c r="F612" s="246">
        <f t="shared" si="207"/>
        <v>-400</v>
      </c>
      <c r="G612" s="246">
        <f t="shared" si="207"/>
        <v>30080</v>
      </c>
      <c r="H612" s="246">
        <f t="shared" si="207"/>
        <v>-1018</v>
      </c>
      <c r="I612" s="246">
        <f t="shared" si="207"/>
        <v>29062</v>
      </c>
      <c r="J612" s="246">
        <f t="shared" si="207"/>
        <v>0</v>
      </c>
      <c r="K612" s="246">
        <f t="shared" si="207"/>
        <v>29062</v>
      </c>
    </row>
    <row r="613" spans="1:11" ht="12.95" customHeight="1" x14ac:dyDescent="0.2">
      <c r="A613" s="157"/>
      <c r="B613" s="157"/>
      <c r="C613" s="144">
        <v>4210</v>
      </c>
      <c r="D613" s="192" t="s">
        <v>154</v>
      </c>
      <c r="E613" s="238">
        <v>2700</v>
      </c>
      <c r="F613" s="238">
        <v>-400</v>
      </c>
      <c r="G613" s="238">
        <f>SUM(E613:F613)</f>
        <v>2300</v>
      </c>
      <c r="H613" s="238"/>
      <c r="I613" s="238">
        <f>SUM(G613:H613)</f>
        <v>2300</v>
      </c>
      <c r="J613" s="238"/>
      <c r="K613" s="238">
        <f>SUM(I613:J613)</f>
        <v>2300</v>
      </c>
    </row>
    <row r="614" spans="1:11" ht="12.95" customHeight="1" x14ac:dyDescent="0.2">
      <c r="A614" s="157"/>
      <c r="B614" s="157"/>
      <c r="C614" s="144">
        <v>4260</v>
      </c>
      <c r="D614" s="185" t="s">
        <v>155</v>
      </c>
      <c r="E614" s="238">
        <v>5100</v>
      </c>
      <c r="F614" s="238"/>
      <c r="G614" s="238">
        <f t="shared" ref="G614:G620" si="208">SUM(E614:F614)</f>
        <v>5100</v>
      </c>
      <c r="H614" s="238"/>
      <c r="I614" s="238">
        <f t="shared" ref="I614:I620" si="209">SUM(G614:H614)</f>
        <v>5100</v>
      </c>
      <c r="J614" s="238"/>
      <c r="K614" s="238">
        <f t="shared" ref="K614:K620" si="210">SUM(I614:J614)</f>
        <v>5100</v>
      </c>
    </row>
    <row r="615" spans="1:11" ht="12.95" customHeight="1" x14ac:dyDescent="0.2">
      <c r="A615" s="157"/>
      <c r="B615" s="157"/>
      <c r="C615" s="144">
        <v>4270</v>
      </c>
      <c r="D615" s="185" t="s">
        <v>156</v>
      </c>
      <c r="E615" s="238">
        <v>1100</v>
      </c>
      <c r="F615" s="238"/>
      <c r="G615" s="238">
        <f t="shared" si="208"/>
        <v>1100</v>
      </c>
      <c r="H615" s="238"/>
      <c r="I615" s="238">
        <f t="shared" si="209"/>
        <v>1100</v>
      </c>
      <c r="J615" s="238"/>
      <c r="K615" s="238">
        <f t="shared" si="210"/>
        <v>1100</v>
      </c>
    </row>
    <row r="616" spans="1:11" ht="12.95" customHeight="1" x14ac:dyDescent="0.2">
      <c r="A616" s="157"/>
      <c r="B616" s="157"/>
      <c r="C616" s="144">
        <v>4280</v>
      </c>
      <c r="D616" s="185" t="s">
        <v>182</v>
      </c>
      <c r="E616" s="238">
        <v>10675</v>
      </c>
      <c r="F616" s="238"/>
      <c r="G616" s="238">
        <f t="shared" si="208"/>
        <v>10675</v>
      </c>
      <c r="H616" s="238"/>
      <c r="I616" s="238">
        <f t="shared" si="209"/>
        <v>10675</v>
      </c>
      <c r="J616" s="238"/>
      <c r="K616" s="238">
        <f t="shared" si="210"/>
        <v>10675</v>
      </c>
    </row>
    <row r="617" spans="1:11" ht="12.95" customHeight="1" x14ac:dyDescent="0.2">
      <c r="A617" s="157"/>
      <c r="B617" s="157"/>
      <c r="C617" s="144">
        <v>4300</v>
      </c>
      <c r="D617" s="185" t="s">
        <v>145</v>
      </c>
      <c r="E617" s="238">
        <v>6020</v>
      </c>
      <c r="F617" s="238"/>
      <c r="G617" s="238">
        <f t="shared" si="208"/>
        <v>6020</v>
      </c>
      <c r="H617" s="238">
        <f>-1018</f>
        <v>-1018</v>
      </c>
      <c r="I617" s="238">
        <f t="shared" si="209"/>
        <v>5002</v>
      </c>
      <c r="J617" s="238"/>
      <c r="K617" s="238">
        <f t="shared" si="210"/>
        <v>5002</v>
      </c>
    </row>
    <row r="618" spans="1:11" ht="12.95" customHeight="1" x14ac:dyDescent="0.2">
      <c r="A618" s="157"/>
      <c r="B618" s="157"/>
      <c r="C618" s="144">
        <v>4360</v>
      </c>
      <c r="D618" s="185" t="s">
        <v>307</v>
      </c>
      <c r="E618" s="238">
        <v>2200</v>
      </c>
      <c r="F618" s="238"/>
      <c r="G618" s="238">
        <f t="shared" si="208"/>
        <v>2200</v>
      </c>
      <c r="H618" s="238"/>
      <c r="I618" s="238">
        <f t="shared" si="209"/>
        <v>2200</v>
      </c>
      <c r="J618" s="238"/>
      <c r="K618" s="238">
        <f t="shared" si="210"/>
        <v>2200</v>
      </c>
    </row>
    <row r="619" spans="1:11" ht="12.95" customHeight="1" x14ac:dyDescent="0.2">
      <c r="A619" s="157"/>
      <c r="B619" s="157"/>
      <c r="C619" s="145">
        <v>4410</v>
      </c>
      <c r="D619" s="191" t="s">
        <v>171</v>
      </c>
      <c r="E619" s="238">
        <v>59</v>
      </c>
      <c r="F619" s="238"/>
      <c r="G619" s="238">
        <f t="shared" si="208"/>
        <v>59</v>
      </c>
      <c r="H619" s="238"/>
      <c r="I619" s="238">
        <f t="shared" si="209"/>
        <v>59</v>
      </c>
      <c r="J619" s="238"/>
      <c r="K619" s="238">
        <f t="shared" si="210"/>
        <v>59</v>
      </c>
    </row>
    <row r="620" spans="1:11" ht="12.95" customHeight="1" x14ac:dyDescent="0.2">
      <c r="A620" s="157"/>
      <c r="B620" s="157"/>
      <c r="C620" s="145">
        <v>4440</v>
      </c>
      <c r="D620" s="191" t="s">
        <v>186</v>
      </c>
      <c r="E620" s="238">
        <v>2626</v>
      </c>
      <c r="F620" s="238"/>
      <c r="G620" s="238">
        <f t="shared" si="208"/>
        <v>2626</v>
      </c>
      <c r="H620" s="238"/>
      <c r="I620" s="238">
        <f t="shared" si="209"/>
        <v>2626</v>
      </c>
      <c r="J620" s="238"/>
      <c r="K620" s="238">
        <f t="shared" si="210"/>
        <v>2626</v>
      </c>
    </row>
    <row r="621" spans="1:11" ht="12.95" customHeight="1" x14ac:dyDescent="0.2">
      <c r="A621" s="167"/>
      <c r="B621" s="167">
        <v>85333</v>
      </c>
      <c r="C621" s="146"/>
      <c r="D621" s="188" t="s">
        <v>244</v>
      </c>
      <c r="E621" s="234">
        <f t="shared" ref="E621:K621" si="211">SUM(E622,E627,E629,E643)</f>
        <v>1488545</v>
      </c>
      <c r="F621" s="234">
        <f t="shared" si="211"/>
        <v>0</v>
      </c>
      <c r="G621" s="234">
        <f t="shared" si="211"/>
        <v>1488545</v>
      </c>
      <c r="H621" s="234">
        <f t="shared" si="211"/>
        <v>0</v>
      </c>
      <c r="I621" s="234">
        <f t="shared" si="211"/>
        <v>1488545</v>
      </c>
      <c r="J621" s="234">
        <f t="shared" si="211"/>
        <v>0</v>
      </c>
      <c r="K621" s="234">
        <f t="shared" si="211"/>
        <v>1488545</v>
      </c>
    </row>
    <row r="622" spans="1:11" s="127" customFormat="1" ht="12.95" customHeight="1" x14ac:dyDescent="0.2">
      <c r="A622" s="168"/>
      <c r="B622" s="152"/>
      <c r="C622" s="299" t="s">
        <v>152</v>
      </c>
      <c r="D622" s="300"/>
      <c r="E622" s="228">
        <f t="shared" ref="E622:K622" si="212">SUM(E623:E626)</f>
        <v>1322500</v>
      </c>
      <c r="F622" s="228">
        <f t="shared" si="212"/>
        <v>0</v>
      </c>
      <c r="G622" s="228">
        <f t="shared" si="212"/>
        <v>1322500</v>
      </c>
      <c r="H622" s="228">
        <f t="shared" si="212"/>
        <v>0</v>
      </c>
      <c r="I622" s="228">
        <f t="shared" si="212"/>
        <v>1322500</v>
      </c>
      <c r="J622" s="228">
        <f t="shared" si="212"/>
        <v>0</v>
      </c>
      <c r="K622" s="228">
        <f t="shared" si="212"/>
        <v>1322500</v>
      </c>
    </row>
    <row r="623" spans="1:11" ht="12.95" customHeight="1" x14ac:dyDescent="0.2">
      <c r="A623" s="157"/>
      <c r="B623" s="157"/>
      <c r="C623" s="144">
        <v>4010</v>
      </c>
      <c r="D623" s="185" t="s">
        <v>176</v>
      </c>
      <c r="E623" s="229">
        <v>1026000</v>
      </c>
      <c r="F623" s="229"/>
      <c r="G623" s="229">
        <f>SUM(E623:F623)</f>
        <v>1026000</v>
      </c>
      <c r="H623" s="229"/>
      <c r="I623" s="229">
        <f>SUM(G623:H623)</f>
        <v>1026000</v>
      </c>
      <c r="J623" s="229"/>
      <c r="K623" s="229">
        <f>SUM(I623:J623)</f>
        <v>1026000</v>
      </c>
    </row>
    <row r="624" spans="1:11" ht="12.95" customHeight="1" x14ac:dyDescent="0.2">
      <c r="A624" s="157"/>
      <c r="B624" s="157"/>
      <c r="C624" s="144">
        <v>4040</v>
      </c>
      <c r="D624" s="185" t="s">
        <v>178</v>
      </c>
      <c r="E624" s="229">
        <v>87636</v>
      </c>
      <c r="F624" s="229"/>
      <c r="G624" s="229">
        <f>SUM(E624:F624)</f>
        <v>87636</v>
      </c>
      <c r="H624" s="229"/>
      <c r="I624" s="229">
        <f>SUM(G624:H624)</f>
        <v>87636</v>
      </c>
      <c r="J624" s="229"/>
      <c r="K624" s="229">
        <f>SUM(I624:J624)</f>
        <v>87636</v>
      </c>
    </row>
    <row r="625" spans="1:11" ht="12.95" customHeight="1" x14ac:dyDescent="0.2">
      <c r="A625" s="157"/>
      <c r="B625" s="157"/>
      <c r="C625" s="144">
        <v>4110</v>
      </c>
      <c r="D625" s="185" t="s">
        <v>179</v>
      </c>
      <c r="E625" s="229">
        <v>188000</v>
      </c>
      <c r="F625" s="229"/>
      <c r="G625" s="229">
        <f>SUM(E625:F625)</f>
        <v>188000</v>
      </c>
      <c r="H625" s="229"/>
      <c r="I625" s="229">
        <f>SUM(G625:H625)</f>
        <v>188000</v>
      </c>
      <c r="J625" s="229"/>
      <c r="K625" s="229">
        <f>SUM(I625:J625)</f>
        <v>188000</v>
      </c>
    </row>
    <row r="626" spans="1:11" ht="12.95" customHeight="1" x14ac:dyDescent="0.2">
      <c r="A626" s="157"/>
      <c r="B626" s="157"/>
      <c r="C626" s="144">
        <v>4120</v>
      </c>
      <c r="D626" s="185" t="s">
        <v>180</v>
      </c>
      <c r="E626" s="229">
        <v>20864</v>
      </c>
      <c r="F626" s="229"/>
      <c r="G626" s="229">
        <f>SUM(E626:F626)</f>
        <v>20864</v>
      </c>
      <c r="H626" s="229"/>
      <c r="I626" s="229">
        <f>SUM(G626:H626)</f>
        <v>20864</v>
      </c>
      <c r="J626" s="229"/>
      <c r="K626" s="229">
        <f>SUM(I626:J626)</f>
        <v>20864</v>
      </c>
    </row>
    <row r="627" spans="1:11" s="127" customFormat="1" ht="12.95" customHeight="1" x14ac:dyDescent="0.2">
      <c r="A627" s="168"/>
      <c r="B627" s="152"/>
      <c r="C627" s="299" t="s">
        <v>150</v>
      </c>
      <c r="D627" s="300"/>
      <c r="E627" s="228">
        <f t="shared" ref="E627:K627" si="213">SUM(E628)</f>
        <v>2300</v>
      </c>
      <c r="F627" s="228">
        <f t="shared" si="213"/>
        <v>0</v>
      </c>
      <c r="G627" s="228">
        <f t="shared" si="213"/>
        <v>2300</v>
      </c>
      <c r="H627" s="228">
        <f t="shared" si="213"/>
        <v>0</v>
      </c>
      <c r="I627" s="228">
        <f t="shared" si="213"/>
        <v>2300</v>
      </c>
      <c r="J627" s="228">
        <f t="shared" si="213"/>
        <v>0</v>
      </c>
      <c r="K627" s="228">
        <f t="shared" si="213"/>
        <v>2300</v>
      </c>
    </row>
    <row r="628" spans="1:11" ht="12.95" customHeight="1" x14ac:dyDescent="0.2">
      <c r="A628" s="157"/>
      <c r="B628" s="157"/>
      <c r="C628" s="144">
        <v>3020</v>
      </c>
      <c r="D628" s="192" t="s">
        <v>181</v>
      </c>
      <c r="E628" s="229">
        <v>2300</v>
      </c>
      <c r="F628" s="229"/>
      <c r="G628" s="229">
        <f>SUM(E628:F628)</f>
        <v>2300</v>
      </c>
      <c r="H628" s="229"/>
      <c r="I628" s="229">
        <f>SUM(G628:H628)</f>
        <v>2300</v>
      </c>
      <c r="J628" s="229"/>
      <c r="K628" s="229">
        <f>SUM(I628:J628)</f>
        <v>2300</v>
      </c>
    </row>
    <row r="629" spans="1:11" s="127" customFormat="1" ht="25.5" customHeight="1" x14ac:dyDescent="0.2">
      <c r="A629" s="168"/>
      <c r="B629" s="207"/>
      <c r="C629" s="295" t="s">
        <v>294</v>
      </c>
      <c r="D629" s="296"/>
      <c r="E629" s="228">
        <f t="shared" ref="E629:K629" si="214">SUM(E630:E642)</f>
        <v>153745</v>
      </c>
      <c r="F629" s="228">
        <f t="shared" si="214"/>
        <v>0</v>
      </c>
      <c r="G629" s="228">
        <f t="shared" si="214"/>
        <v>153745</v>
      </c>
      <c r="H629" s="228">
        <f t="shared" si="214"/>
        <v>0</v>
      </c>
      <c r="I629" s="228">
        <f t="shared" si="214"/>
        <v>153745</v>
      </c>
      <c r="J629" s="228">
        <f t="shared" si="214"/>
        <v>0</v>
      </c>
      <c r="K629" s="228">
        <f t="shared" si="214"/>
        <v>153745</v>
      </c>
    </row>
    <row r="630" spans="1:11" ht="12.95" customHeight="1" x14ac:dyDescent="0.2">
      <c r="A630" s="157"/>
      <c r="B630" s="157"/>
      <c r="C630" s="144">
        <v>4210</v>
      </c>
      <c r="D630" s="192" t="s">
        <v>154</v>
      </c>
      <c r="E630" s="229">
        <v>18000</v>
      </c>
      <c r="F630" s="229"/>
      <c r="G630" s="229">
        <f>SUM(E630:F630)</f>
        <v>18000</v>
      </c>
      <c r="H630" s="229"/>
      <c r="I630" s="229">
        <f>SUM(G630:H630)</f>
        <v>18000</v>
      </c>
      <c r="J630" s="229"/>
      <c r="K630" s="229">
        <f>SUM(I630:J630)</f>
        <v>18000</v>
      </c>
    </row>
    <row r="631" spans="1:11" ht="12.95" customHeight="1" x14ac:dyDescent="0.2">
      <c r="A631" s="157"/>
      <c r="B631" s="157"/>
      <c r="C631" s="144">
        <v>4260</v>
      </c>
      <c r="D631" s="185" t="s">
        <v>155</v>
      </c>
      <c r="E631" s="229">
        <v>60000</v>
      </c>
      <c r="F631" s="229"/>
      <c r="G631" s="229">
        <f t="shared" ref="G631:G642" si="215">SUM(E631:F631)</f>
        <v>60000</v>
      </c>
      <c r="H631" s="229"/>
      <c r="I631" s="229">
        <f t="shared" ref="I631:I642" si="216">SUM(G631:H631)</f>
        <v>60000</v>
      </c>
      <c r="J631" s="229"/>
      <c r="K631" s="229">
        <f t="shared" ref="K631:K642" si="217">SUM(I631:J631)</f>
        <v>60000</v>
      </c>
    </row>
    <row r="632" spans="1:11" ht="12.95" customHeight="1" x14ac:dyDescent="0.2">
      <c r="A632" s="157"/>
      <c r="B632" s="157"/>
      <c r="C632" s="144">
        <v>4270</v>
      </c>
      <c r="D632" s="185" t="s">
        <v>156</v>
      </c>
      <c r="E632" s="229">
        <v>1895</v>
      </c>
      <c r="F632" s="229"/>
      <c r="G632" s="229">
        <f t="shared" si="215"/>
        <v>1895</v>
      </c>
      <c r="H632" s="229"/>
      <c r="I632" s="229">
        <f t="shared" si="216"/>
        <v>1895</v>
      </c>
      <c r="J632" s="229"/>
      <c r="K632" s="229">
        <f t="shared" si="217"/>
        <v>1895</v>
      </c>
    </row>
    <row r="633" spans="1:11" ht="12.95" customHeight="1" x14ac:dyDescent="0.2">
      <c r="A633" s="157"/>
      <c r="B633" s="157"/>
      <c r="C633" s="144">
        <v>4280</v>
      </c>
      <c r="D633" s="191" t="s">
        <v>182</v>
      </c>
      <c r="E633" s="229">
        <v>1000</v>
      </c>
      <c r="F633" s="229"/>
      <c r="G633" s="229">
        <f t="shared" si="215"/>
        <v>1000</v>
      </c>
      <c r="H633" s="229"/>
      <c r="I633" s="229">
        <f t="shared" si="216"/>
        <v>1000</v>
      </c>
      <c r="J633" s="229"/>
      <c r="K633" s="229">
        <f t="shared" si="217"/>
        <v>1000</v>
      </c>
    </row>
    <row r="634" spans="1:11" ht="12.95" customHeight="1" x14ac:dyDescent="0.2">
      <c r="A634" s="157"/>
      <c r="B634" s="157"/>
      <c r="C634" s="144">
        <v>4300</v>
      </c>
      <c r="D634" s="185" t="s">
        <v>145</v>
      </c>
      <c r="E634" s="229">
        <v>12000</v>
      </c>
      <c r="F634" s="229"/>
      <c r="G634" s="229">
        <f t="shared" si="215"/>
        <v>12000</v>
      </c>
      <c r="H634" s="229"/>
      <c r="I634" s="229">
        <f t="shared" si="216"/>
        <v>12000</v>
      </c>
      <c r="J634" s="229"/>
      <c r="K634" s="229">
        <f t="shared" si="217"/>
        <v>12000</v>
      </c>
    </row>
    <row r="635" spans="1:11" ht="12.95" customHeight="1" x14ac:dyDescent="0.2">
      <c r="A635" s="157"/>
      <c r="B635" s="157"/>
      <c r="C635" s="144">
        <v>4360</v>
      </c>
      <c r="D635" s="185" t="s">
        <v>307</v>
      </c>
      <c r="E635" s="229">
        <v>1800</v>
      </c>
      <c r="F635" s="229"/>
      <c r="G635" s="229">
        <f t="shared" si="215"/>
        <v>1800</v>
      </c>
      <c r="H635" s="229"/>
      <c r="I635" s="229">
        <f t="shared" si="216"/>
        <v>1800</v>
      </c>
      <c r="J635" s="229"/>
      <c r="K635" s="229">
        <f t="shared" si="217"/>
        <v>1800</v>
      </c>
    </row>
    <row r="636" spans="1:11" ht="12.95" customHeight="1" x14ac:dyDescent="0.2">
      <c r="A636" s="157"/>
      <c r="B636" s="157"/>
      <c r="C636" s="144">
        <v>4400</v>
      </c>
      <c r="D636" s="185" t="s">
        <v>292</v>
      </c>
      <c r="E636" s="229">
        <v>1550</v>
      </c>
      <c r="F636" s="229"/>
      <c r="G636" s="229">
        <f t="shared" si="215"/>
        <v>1550</v>
      </c>
      <c r="H636" s="229"/>
      <c r="I636" s="229">
        <f t="shared" si="216"/>
        <v>1550</v>
      </c>
      <c r="J636" s="229"/>
      <c r="K636" s="229">
        <f t="shared" si="217"/>
        <v>1550</v>
      </c>
    </row>
    <row r="637" spans="1:11" ht="12.95" customHeight="1" x14ac:dyDescent="0.2">
      <c r="A637" s="157"/>
      <c r="B637" s="157"/>
      <c r="C637" s="145">
        <v>4410</v>
      </c>
      <c r="D637" s="191" t="s">
        <v>171</v>
      </c>
      <c r="E637" s="229">
        <v>1223</v>
      </c>
      <c r="F637" s="229"/>
      <c r="G637" s="229">
        <f t="shared" si="215"/>
        <v>1223</v>
      </c>
      <c r="H637" s="229"/>
      <c r="I637" s="229">
        <f t="shared" si="216"/>
        <v>1223</v>
      </c>
      <c r="J637" s="229"/>
      <c r="K637" s="229">
        <f t="shared" si="217"/>
        <v>1223</v>
      </c>
    </row>
    <row r="638" spans="1:11" ht="12.95" customHeight="1" x14ac:dyDescent="0.2">
      <c r="A638" s="157"/>
      <c r="B638" s="157"/>
      <c r="C638" s="144">
        <v>4430</v>
      </c>
      <c r="D638" s="185" t="s">
        <v>157</v>
      </c>
      <c r="E638" s="229">
        <v>3500</v>
      </c>
      <c r="F638" s="229"/>
      <c r="G638" s="229">
        <f t="shared" si="215"/>
        <v>3500</v>
      </c>
      <c r="H638" s="229"/>
      <c r="I638" s="229">
        <f t="shared" si="216"/>
        <v>3500</v>
      </c>
      <c r="J638" s="229"/>
      <c r="K638" s="229">
        <f t="shared" si="217"/>
        <v>3500</v>
      </c>
    </row>
    <row r="639" spans="1:11" ht="12.95" customHeight="1" x14ac:dyDescent="0.2">
      <c r="A639" s="157"/>
      <c r="B639" s="157"/>
      <c r="C639" s="145">
        <v>4440</v>
      </c>
      <c r="D639" s="191" t="s">
        <v>186</v>
      </c>
      <c r="E639" s="229">
        <v>45000</v>
      </c>
      <c r="F639" s="229"/>
      <c r="G639" s="229">
        <f t="shared" si="215"/>
        <v>45000</v>
      </c>
      <c r="H639" s="229"/>
      <c r="I639" s="229">
        <f t="shared" si="216"/>
        <v>45000</v>
      </c>
      <c r="J639" s="229"/>
      <c r="K639" s="229">
        <f t="shared" si="217"/>
        <v>45000</v>
      </c>
    </row>
    <row r="640" spans="1:11" ht="12.95" customHeight="1" x14ac:dyDescent="0.2">
      <c r="A640" s="157"/>
      <c r="B640" s="157"/>
      <c r="C640" s="144">
        <v>4480</v>
      </c>
      <c r="D640" s="192" t="s">
        <v>172</v>
      </c>
      <c r="E640" s="229">
        <v>7277</v>
      </c>
      <c r="F640" s="229"/>
      <c r="G640" s="229">
        <f t="shared" si="215"/>
        <v>7277</v>
      </c>
      <c r="H640" s="229"/>
      <c r="I640" s="229">
        <f t="shared" si="216"/>
        <v>7277</v>
      </c>
      <c r="J640" s="229"/>
      <c r="K640" s="229">
        <f t="shared" si="217"/>
        <v>7277</v>
      </c>
    </row>
    <row r="641" spans="1:11" ht="12.95" customHeight="1" x14ac:dyDescent="0.2">
      <c r="A641" s="157"/>
      <c r="B641" s="157"/>
      <c r="C641" s="144">
        <v>4520</v>
      </c>
      <c r="D641" s="192" t="s">
        <v>295</v>
      </c>
      <c r="E641" s="229">
        <v>57</v>
      </c>
      <c r="F641" s="229"/>
      <c r="G641" s="229">
        <f t="shared" si="215"/>
        <v>57</v>
      </c>
      <c r="H641" s="229"/>
      <c r="I641" s="229">
        <f t="shared" si="216"/>
        <v>57</v>
      </c>
      <c r="J641" s="229"/>
      <c r="K641" s="229">
        <f t="shared" si="217"/>
        <v>57</v>
      </c>
    </row>
    <row r="642" spans="1:11" ht="12" customHeight="1" x14ac:dyDescent="0.2">
      <c r="A642" s="157"/>
      <c r="B642" s="157"/>
      <c r="C642" s="144">
        <v>4700</v>
      </c>
      <c r="D642" s="185" t="s">
        <v>173</v>
      </c>
      <c r="E642" s="229">
        <v>443</v>
      </c>
      <c r="F642" s="229"/>
      <c r="G642" s="229">
        <f t="shared" si="215"/>
        <v>443</v>
      </c>
      <c r="H642" s="229"/>
      <c r="I642" s="229">
        <f t="shared" si="216"/>
        <v>443</v>
      </c>
      <c r="J642" s="229"/>
      <c r="K642" s="229">
        <f t="shared" si="217"/>
        <v>443</v>
      </c>
    </row>
    <row r="643" spans="1:11" s="127" customFormat="1" ht="13.5" customHeight="1" x14ac:dyDescent="0.2">
      <c r="A643" s="168"/>
      <c r="B643" s="152"/>
      <c r="C643" s="307" t="s">
        <v>158</v>
      </c>
      <c r="D643" s="308"/>
      <c r="E643" s="228">
        <f t="shared" ref="E643:K643" si="218">SUM(E644:E644)</f>
        <v>10000</v>
      </c>
      <c r="F643" s="228">
        <f t="shared" si="218"/>
        <v>0</v>
      </c>
      <c r="G643" s="228">
        <f t="shared" si="218"/>
        <v>10000</v>
      </c>
      <c r="H643" s="228">
        <f t="shared" si="218"/>
        <v>0</v>
      </c>
      <c r="I643" s="228">
        <f t="shared" si="218"/>
        <v>10000</v>
      </c>
      <c r="J643" s="228">
        <f t="shared" si="218"/>
        <v>0</v>
      </c>
      <c r="K643" s="228">
        <f t="shared" si="218"/>
        <v>10000</v>
      </c>
    </row>
    <row r="644" spans="1:11" ht="12.95" customHeight="1" x14ac:dyDescent="0.2">
      <c r="A644" s="157"/>
      <c r="B644" s="157"/>
      <c r="C644" s="144">
        <v>6060</v>
      </c>
      <c r="D644" s="185" t="s">
        <v>174</v>
      </c>
      <c r="E644" s="229">
        <v>10000</v>
      </c>
      <c r="F644" s="229"/>
      <c r="G644" s="229">
        <f>SUM(E644:F644)</f>
        <v>10000</v>
      </c>
      <c r="H644" s="229"/>
      <c r="I644" s="229">
        <f>SUM(G644:H644)</f>
        <v>10000</v>
      </c>
      <c r="J644" s="229"/>
      <c r="K644" s="229">
        <f>SUM(I644:J644)</f>
        <v>10000</v>
      </c>
    </row>
    <row r="645" spans="1:11" ht="12.95" customHeight="1" x14ac:dyDescent="0.2">
      <c r="A645" s="167"/>
      <c r="B645" s="167">
        <v>85395</v>
      </c>
      <c r="C645" s="146"/>
      <c r="D645" s="188" t="s">
        <v>166</v>
      </c>
      <c r="E645" s="234">
        <f t="shared" ref="E645:K645" si="219">SUM(E646+E665+E668+E663)</f>
        <v>1430116</v>
      </c>
      <c r="F645" s="234">
        <f t="shared" si="219"/>
        <v>343647</v>
      </c>
      <c r="G645" s="234">
        <f t="shared" si="219"/>
        <v>1773763</v>
      </c>
      <c r="H645" s="234">
        <f t="shared" si="219"/>
        <v>54134</v>
      </c>
      <c r="I645" s="234">
        <f t="shared" si="219"/>
        <v>1827897</v>
      </c>
      <c r="J645" s="234">
        <f t="shared" si="219"/>
        <v>0</v>
      </c>
      <c r="K645" s="234">
        <f t="shared" si="219"/>
        <v>1827897</v>
      </c>
    </row>
    <row r="646" spans="1:11" ht="38.25" customHeight="1" x14ac:dyDescent="0.2">
      <c r="A646" s="178"/>
      <c r="B646" s="178"/>
      <c r="C646" s="311" t="s">
        <v>162</v>
      </c>
      <c r="D646" s="312"/>
      <c r="E646" s="247">
        <f t="shared" ref="E646:K646" si="220">SUM(E647:E662)</f>
        <v>254871</v>
      </c>
      <c r="F646" s="247">
        <f t="shared" si="220"/>
        <v>43647</v>
      </c>
      <c r="G646" s="247">
        <f t="shared" si="220"/>
        <v>298518</v>
      </c>
      <c r="H646" s="247">
        <f t="shared" si="220"/>
        <v>2474</v>
      </c>
      <c r="I646" s="247">
        <f t="shared" si="220"/>
        <v>300992</v>
      </c>
      <c r="J646" s="247">
        <f t="shared" si="220"/>
        <v>0</v>
      </c>
      <c r="K646" s="247">
        <f t="shared" si="220"/>
        <v>300992</v>
      </c>
    </row>
    <row r="647" spans="1:11" ht="12.95" customHeight="1" x14ac:dyDescent="0.2">
      <c r="A647" s="178"/>
      <c r="B647" s="178"/>
      <c r="C647" s="216">
        <v>3117</v>
      </c>
      <c r="D647" s="204" t="s">
        <v>230</v>
      </c>
      <c r="E647" s="248">
        <v>190400</v>
      </c>
      <c r="F647" s="248">
        <v>12556</v>
      </c>
      <c r="G647" s="248">
        <f>SUM(E647:F647)</f>
        <v>202956</v>
      </c>
      <c r="H647" s="248"/>
      <c r="I647" s="248">
        <f>SUM(G647:H647)</f>
        <v>202956</v>
      </c>
      <c r="J647" s="248">
        <v>1658</v>
      </c>
      <c r="K647" s="248">
        <f>SUM(I647:J647)</f>
        <v>204614</v>
      </c>
    </row>
    <row r="648" spans="1:11" ht="12.95" customHeight="1" x14ac:dyDescent="0.2">
      <c r="A648" s="178"/>
      <c r="B648" s="178"/>
      <c r="C648" s="216">
        <v>3119</v>
      </c>
      <c r="D648" s="204" t="s">
        <v>230</v>
      </c>
      <c r="E648" s="248">
        <v>33600</v>
      </c>
      <c r="F648" s="248">
        <v>2216</v>
      </c>
      <c r="G648" s="248">
        <f t="shared" ref="G648:G661" si="221">SUM(E648:F648)</f>
        <v>35816</v>
      </c>
      <c r="H648" s="248"/>
      <c r="I648" s="248">
        <f t="shared" ref="I648:I661" si="222">SUM(G648:H648)</f>
        <v>35816</v>
      </c>
      <c r="J648" s="248">
        <v>292</v>
      </c>
      <c r="K648" s="248">
        <f t="shared" ref="K648:K661" si="223">SUM(I648:J648)</f>
        <v>36108</v>
      </c>
    </row>
    <row r="649" spans="1:11" ht="12.95" customHeight="1" x14ac:dyDescent="0.2">
      <c r="A649" s="178"/>
      <c r="B649" s="178"/>
      <c r="C649" s="216">
        <v>4017</v>
      </c>
      <c r="D649" s="204" t="s">
        <v>176</v>
      </c>
      <c r="E649" s="248">
        <v>9671</v>
      </c>
      <c r="F649" s="248">
        <v>269</v>
      </c>
      <c r="G649" s="248">
        <f t="shared" si="221"/>
        <v>9940</v>
      </c>
      <c r="H649" s="248"/>
      <c r="I649" s="248">
        <f t="shared" si="222"/>
        <v>9940</v>
      </c>
      <c r="J649" s="248"/>
      <c r="K649" s="248">
        <f t="shared" si="223"/>
        <v>9940</v>
      </c>
    </row>
    <row r="650" spans="1:11" ht="12.95" customHeight="1" x14ac:dyDescent="0.2">
      <c r="A650" s="178"/>
      <c r="B650" s="178"/>
      <c r="C650" s="157">
        <v>4019</v>
      </c>
      <c r="D650" s="185" t="s">
        <v>176</v>
      </c>
      <c r="E650" s="249">
        <v>1706</v>
      </c>
      <c r="F650" s="249">
        <v>47</v>
      </c>
      <c r="G650" s="248">
        <f t="shared" si="221"/>
        <v>1753</v>
      </c>
      <c r="H650" s="249"/>
      <c r="I650" s="248">
        <f t="shared" si="222"/>
        <v>1753</v>
      </c>
      <c r="J650" s="249"/>
      <c r="K650" s="248">
        <f t="shared" si="223"/>
        <v>1753</v>
      </c>
    </row>
    <row r="651" spans="1:11" ht="12.95" customHeight="1" x14ac:dyDescent="0.2">
      <c r="A651" s="178"/>
      <c r="B651" s="178"/>
      <c r="C651" s="157">
        <v>4117</v>
      </c>
      <c r="D651" s="185" t="s">
        <v>179</v>
      </c>
      <c r="E651" s="249">
        <v>1662</v>
      </c>
      <c r="F651" s="249">
        <v>35</v>
      </c>
      <c r="G651" s="248">
        <f t="shared" si="221"/>
        <v>1697</v>
      </c>
      <c r="H651" s="249"/>
      <c r="I651" s="248">
        <f t="shared" si="222"/>
        <v>1697</v>
      </c>
      <c r="J651" s="249"/>
      <c r="K651" s="248">
        <f t="shared" si="223"/>
        <v>1697</v>
      </c>
    </row>
    <row r="652" spans="1:11" ht="12.95" customHeight="1" x14ac:dyDescent="0.2">
      <c r="A652" s="178"/>
      <c r="B652" s="178"/>
      <c r="C652" s="157">
        <v>4119</v>
      </c>
      <c r="D652" s="185" t="s">
        <v>179</v>
      </c>
      <c r="E652" s="249">
        <v>294</v>
      </c>
      <c r="F652" s="249">
        <v>6</v>
      </c>
      <c r="G652" s="248">
        <f t="shared" si="221"/>
        <v>300</v>
      </c>
      <c r="H652" s="249"/>
      <c r="I652" s="248">
        <f t="shared" si="222"/>
        <v>300</v>
      </c>
      <c r="J652" s="249"/>
      <c r="K652" s="248">
        <f t="shared" si="223"/>
        <v>300</v>
      </c>
    </row>
    <row r="653" spans="1:11" ht="12.95" customHeight="1" x14ac:dyDescent="0.2">
      <c r="A653" s="178"/>
      <c r="B653" s="178"/>
      <c r="C653" s="157">
        <v>4127</v>
      </c>
      <c r="D653" s="185" t="s">
        <v>180</v>
      </c>
      <c r="E653" s="249">
        <v>142</v>
      </c>
      <c r="F653" s="249">
        <v>2</v>
      </c>
      <c r="G653" s="248">
        <f t="shared" si="221"/>
        <v>144</v>
      </c>
      <c r="H653" s="249"/>
      <c r="I653" s="248">
        <f t="shared" si="222"/>
        <v>144</v>
      </c>
      <c r="J653" s="249"/>
      <c r="K653" s="248">
        <f t="shared" si="223"/>
        <v>144</v>
      </c>
    </row>
    <row r="654" spans="1:11" ht="12.95" customHeight="1" x14ac:dyDescent="0.2">
      <c r="A654" s="178"/>
      <c r="B654" s="178"/>
      <c r="C654" s="157">
        <v>4129</v>
      </c>
      <c r="D654" s="185" t="s">
        <v>180</v>
      </c>
      <c r="E654" s="249">
        <v>25</v>
      </c>
      <c r="F654" s="249">
        <v>1</v>
      </c>
      <c r="G654" s="248">
        <f t="shared" si="221"/>
        <v>26</v>
      </c>
      <c r="H654" s="249"/>
      <c r="I654" s="248">
        <f t="shared" si="222"/>
        <v>26</v>
      </c>
      <c r="J654" s="249"/>
      <c r="K654" s="248">
        <f t="shared" si="223"/>
        <v>26</v>
      </c>
    </row>
    <row r="655" spans="1:11" ht="12.95" customHeight="1" x14ac:dyDescent="0.2">
      <c r="A655" s="178"/>
      <c r="B655" s="178"/>
      <c r="C655" s="157">
        <v>4177</v>
      </c>
      <c r="D655" s="185" t="s">
        <v>153</v>
      </c>
      <c r="E655" s="249">
        <v>255</v>
      </c>
      <c r="F655" s="249"/>
      <c r="G655" s="248">
        <f t="shared" si="221"/>
        <v>255</v>
      </c>
      <c r="H655" s="249"/>
      <c r="I655" s="248">
        <f t="shared" si="222"/>
        <v>255</v>
      </c>
      <c r="J655" s="249">
        <v>128</v>
      </c>
      <c r="K655" s="248">
        <f t="shared" si="223"/>
        <v>383</v>
      </c>
    </row>
    <row r="656" spans="1:11" ht="12.95" customHeight="1" x14ac:dyDescent="0.2">
      <c r="A656" s="178"/>
      <c r="B656" s="178"/>
      <c r="C656" s="157">
        <v>4179</v>
      </c>
      <c r="D656" s="185" t="s">
        <v>153</v>
      </c>
      <c r="E656" s="249">
        <v>45</v>
      </c>
      <c r="F656" s="249"/>
      <c r="G656" s="248">
        <f t="shared" si="221"/>
        <v>45</v>
      </c>
      <c r="H656" s="249"/>
      <c r="I656" s="248">
        <f t="shared" si="222"/>
        <v>45</v>
      </c>
      <c r="J656" s="249">
        <v>23</v>
      </c>
      <c r="K656" s="248">
        <f t="shared" si="223"/>
        <v>68</v>
      </c>
    </row>
    <row r="657" spans="1:11" ht="12.95" customHeight="1" x14ac:dyDescent="0.2">
      <c r="A657" s="178"/>
      <c r="B657" s="178"/>
      <c r="C657" s="157">
        <v>4217</v>
      </c>
      <c r="D657" s="185" t="s">
        <v>154</v>
      </c>
      <c r="E657" s="249">
        <v>14149</v>
      </c>
      <c r="F657" s="249">
        <f>43+1225</f>
        <v>1268</v>
      </c>
      <c r="G657" s="248">
        <f t="shared" si="221"/>
        <v>15417</v>
      </c>
      <c r="H657" s="249">
        <f>54-54</f>
        <v>0</v>
      </c>
      <c r="I657" s="248">
        <f t="shared" si="222"/>
        <v>15417</v>
      </c>
      <c r="J657" s="249">
        <f>54-54</f>
        <v>0</v>
      </c>
      <c r="K657" s="248">
        <f t="shared" si="223"/>
        <v>15417</v>
      </c>
    </row>
    <row r="658" spans="1:11" ht="12.95" customHeight="1" x14ac:dyDescent="0.2">
      <c r="A658" s="178"/>
      <c r="B658" s="178"/>
      <c r="C658" s="157">
        <v>4219</v>
      </c>
      <c r="D658" s="185" t="s">
        <v>154</v>
      </c>
      <c r="E658" s="249">
        <v>2497</v>
      </c>
      <c r="F658" s="249">
        <f>17+207</f>
        <v>224</v>
      </c>
      <c r="G658" s="248">
        <f t="shared" si="221"/>
        <v>2721</v>
      </c>
      <c r="H658" s="249"/>
      <c r="I658" s="248">
        <f t="shared" si="222"/>
        <v>2721</v>
      </c>
      <c r="J658" s="249"/>
      <c r="K658" s="248">
        <f t="shared" si="223"/>
        <v>2721</v>
      </c>
    </row>
    <row r="659" spans="1:11" ht="12.95" customHeight="1" x14ac:dyDescent="0.2">
      <c r="A659" s="178"/>
      <c r="B659" s="178"/>
      <c r="C659" s="157">
        <v>4307</v>
      </c>
      <c r="D659" s="185" t="s">
        <v>145</v>
      </c>
      <c r="E659" s="249"/>
      <c r="F659" s="249">
        <v>21715</v>
      </c>
      <c r="G659" s="248">
        <f t="shared" si="221"/>
        <v>21715</v>
      </c>
      <c r="H659" s="249"/>
      <c r="I659" s="248">
        <f t="shared" si="222"/>
        <v>21715</v>
      </c>
      <c r="J659" s="249">
        <f>-128-1658</f>
        <v>-1786</v>
      </c>
      <c r="K659" s="248">
        <f t="shared" si="223"/>
        <v>19929</v>
      </c>
    </row>
    <row r="660" spans="1:11" ht="12.95" customHeight="1" x14ac:dyDescent="0.2">
      <c r="A660" s="178"/>
      <c r="B660" s="178"/>
      <c r="C660" s="157">
        <v>4308</v>
      </c>
      <c r="D660" s="185" t="s">
        <v>145</v>
      </c>
      <c r="E660" s="249">
        <v>325</v>
      </c>
      <c r="F660" s="249"/>
      <c r="G660" s="248">
        <f t="shared" si="221"/>
        <v>325</v>
      </c>
      <c r="H660" s="249">
        <f>79</f>
        <v>79</v>
      </c>
      <c r="I660" s="248">
        <f t="shared" si="222"/>
        <v>404</v>
      </c>
      <c r="J660" s="249"/>
      <c r="K660" s="248">
        <f t="shared" si="223"/>
        <v>404</v>
      </c>
    </row>
    <row r="661" spans="1:11" x14ac:dyDescent="0.2">
      <c r="A661" s="178"/>
      <c r="B661" s="178"/>
      <c r="C661" s="157">
        <v>4309</v>
      </c>
      <c r="D661" s="185" t="s">
        <v>145</v>
      </c>
      <c r="E661" s="249">
        <f>57+43</f>
        <v>100</v>
      </c>
      <c r="F661" s="249">
        <v>3832</v>
      </c>
      <c r="G661" s="248">
        <f t="shared" si="221"/>
        <v>3932</v>
      </c>
      <c r="H661" s="249">
        <f>15+2380</f>
        <v>2395</v>
      </c>
      <c r="I661" s="248">
        <f t="shared" si="222"/>
        <v>6327</v>
      </c>
      <c r="J661" s="249">
        <f>-23-292</f>
        <v>-315</v>
      </c>
      <c r="K661" s="248">
        <f t="shared" si="223"/>
        <v>6012</v>
      </c>
    </row>
    <row r="662" spans="1:11" x14ac:dyDescent="0.2">
      <c r="A662" s="178"/>
      <c r="B662" s="178"/>
      <c r="C662" s="157">
        <v>4399</v>
      </c>
      <c r="D662" s="200" t="s">
        <v>170</v>
      </c>
      <c r="E662" s="249"/>
      <c r="F662" s="249">
        <v>1476</v>
      </c>
      <c r="G662" s="248">
        <f>SUM(E662:F662)</f>
        <v>1476</v>
      </c>
      <c r="H662" s="249"/>
      <c r="I662" s="248">
        <f>SUM(G662:H662)</f>
        <v>1476</v>
      </c>
      <c r="J662" s="249"/>
      <c r="K662" s="248">
        <f>SUM(I662:J662)</f>
        <v>1476</v>
      </c>
    </row>
    <row r="663" spans="1:11" x14ac:dyDescent="0.2">
      <c r="A663" s="178"/>
      <c r="B663" s="178"/>
      <c r="C663" s="303" t="s">
        <v>152</v>
      </c>
      <c r="D663" s="304"/>
      <c r="E663" s="260">
        <f t="shared" ref="E663:K663" si="224">SUM(E664)</f>
        <v>0</v>
      </c>
      <c r="F663" s="260">
        <f t="shared" si="224"/>
        <v>2400</v>
      </c>
      <c r="G663" s="260">
        <f t="shared" si="224"/>
        <v>2400</v>
      </c>
      <c r="H663" s="260">
        <f t="shared" si="224"/>
        <v>0</v>
      </c>
      <c r="I663" s="260">
        <f t="shared" si="224"/>
        <v>2400</v>
      </c>
      <c r="J663" s="260">
        <f t="shared" si="224"/>
        <v>0</v>
      </c>
      <c r="K663" s="260">
        <f t="shared" si="224"/>
        <v>2400</v>
      </c>
    </row>
    <row r="664" spans="1:11" x14ac:dyDescent="0.2">
      <c r="A664" s="178"/>
      <c r="B664" s="178"/>
      <c r="C664" s="157">
        <v>4170</v>
      </c>
      <c r="D664" s="200" t="s">
        <v>153</v>
      </c>
      <c r="E664" s="249"/>
      <c r="F664" s="249">
        <v>2400</v>
      </c>
      <c r="G664" s="248">
        <f>SUM(E664:F664)</f>
        <v>2400</v>
      </c>
      <c r="H664" s="249"/>
      <c r="I664" s="248">
        <f>SUM(G664:H664)</f>
        <v>2400</v>
      </c>
      <c r="J664" s="249"/>
      <c r="K664" s="248">
        <f>SUM(I664:J664)</f>
        <v>2400</v>
      </c>
    </row>
    <row r="665" spans="1:11" s="127" customFormat="1" ht="25.5" customHeight="1" x14ac:dyDescent="0.2">
      <c r="A665" s="168"/>
      <c r="B665" s="207"/>
      <c r="C665" s="292" t="s">
        <v>294</v>
      </c>
      <c r="D665" s="293"/>
      <c r="E665" s="228">
        <f t="shared" ref="E665:K665" si="225">SUM(E666:E667)</f>
        <v>13000</v>
      </c>
      <c r="F665" s="228">
        <f t="shared" si="225"/>
        <v>-2400</v>
      </c>
      <c r="G665" s="228">
        <f t="shared" si="225"/>
        <v>10600</v>
      </c>
      <c r="H665" s="228">
        <f t="shared" si="225"/>
        <v>0</v>
      </c>
      <c r="I665" s="228">
        <f t="shared" si="225"/>
        <v>10600</v>
      </c>
      <c r="J665" s="228">
        <f t="shared" si="225"/>
        <v>0</v>
      </c>
      <c r="K665" s="228">
        <f t="shared" si="225"/>
        <v>10600</v>
      </c>
    </row>
    <row r="666" spans="1:11" ht="12.95" customHeight="1" x14ac:dyDescent="0.2">
      <c r="A666" s="157"/>
      <c r="B666" s="157"/>
      <c r="C666" s="144">
        <v>4210</v>
      </c>
      <c r="D666" s="192" t="s">
        <v>154</v>
      </c>
      <c r="E666" s="229">
        <v>3000</v>
      </c>
      <c r="F666" s="229">
        <v>-2400</v>
      </c>
      <c r="G666" s="229">
        <f>SUM(E666:F666)</f>
        <v>600</v>
      </c>
      <c r="H666" s="229"/>
      <c r="I666" s="229">
        <f>SUM(G666:H666)</f>
        <v>600</v>
      </c>
      <c r="J666" s="229"/>
      <c r="K666" s="229">
        <f>SUM(I666:J666)</f>
        <v>600</v>
      </c>
    </row>
    <row r="667" spans="1:11" ht="12.95" customHeight="1" x14ac:dyDescent="0.2">
      <c r="A667" s="157"/>
      <c r="B667" s="157"/>
      <c r="C667" s="144">
        <v>4300</v>
      </c>
      <c r="D667" s="185" t="s">
        <v>145</v>
      </c>
      <c r="E667" s="229">
        <v>10000</v>
      </c>
      <c r="F667" s="229"/>
      <c r="G667" s="229">
        <f>SUM(E667:F667)</f>
        <v>10000</v>
      </c>
      <c r="H667" s="229"/>
      <c r="I667" s="229">
        <f>SUM(G667:H667)</f>
        <v>10000</v>
      </c>
      <c r="J667" s="229"/>
      <c r="K667" s="229">
        <f>SUM(I667:J667)</f>
        <v>10000</v>
      </c>
    </row>
    <row r="668" spans="1:11" ht="12.95" customHeight="1" x14ac:dyDescent="0.2">
      <c r="A668" s="157"/>
      <c r="B668" s="157"/>
      <c r="C668" s="299" t="s">
        <v>158</v>
      </c>
      <c r="D668" s="300"/>
      <c r="E668" s="239">
        <f t="shared" ref="E668:K668" si="226">SUM(E669:E671)</f>
        <v>1162245</v>
      </c>
      <c r="F668" s="239">
        <f t="shared" si="226"/>
        <v>300000</v>
      </c>
      <c r="G668" s="239">
        <f t="shared" si="226"/>
        <v>1462245</v>
      </c>
      <c r="H668" s="239">
        <f t="shared" si="226"/>
        <v>51660</v>
      </c>
      <c r="I668" s="239">
        <f t="shared" si="226"/>
        <v>1513905</v>
      </c>
      <c r="J668" s="239">
        <f t="shared" si="226"/>
        <v>0</v>
      </c>
      <c r="K668" s="239">
        <f t="shared" si="226"/>
        <v>1513905</v>
      </c>
    </row>
    <row r="669" spans="1:11" ht="12.95" customHeight="1" x14ac:dyDescent="0.2">
      <c r="A669" s="157"/>
      <c r="B669" s="157"/>
      <c r="C669" s="263">
        <v>6010</v>
      </c>
      <c r="D669" s="262" t="s">
        <v>311</v>
      </c>
      <c r="E669" s="264"/>
      <c r="F669" s="264">
        <v>300000</v>
      </c>
      <c r="G669" s="264">
        <f>SUM(E669:F669)</f>
        <v>300000</v>
      </c>
      <c r="H669" s="264"/>
      <c r="I669" s="264">
        <f>SUM(G669:H669)</f>
        <v>300000</v>
      </c>
      <c r="J669" s="264"/>
      <c r="K669" s="264">
        <f>SUM(I669:J669)</f>
        <v>300000</v>
      </c>
    </row>
    <row r="670" spans="1:11" ht="12.95" customHeight="1" x14ac:dyDescent="0.2">
      <c r="A670" s="157"/>
      <c r="B670" s="157"/>
      <c r="C670" s="144">
        <v>6058</v>
      </c>
      <c r="D670" s="185" t="s">
        <v>159</v>
      </c>
      <c r="E670" s="229">
        <v>889117</v>
      </c>
      <c r="F670" s="229"/>
      <c r="G670" s="229">
        <f>SUM(E670:F670)</f>
        <v>889117</v>
      </c>
      <c r="H670" s="229">
        <f>39520</f>
        <v>39520</v>
      </c>
      <c r="I670" s="229">
        <f>SUM(G670:H670)</f>
        <v>928637</v>
      </c>
      <c r="J670" s="229"/>
      <c r="K670" s="229">
        <f>SUM(I670:J670)</f>
        <v>928637</v>
      </c>
    </row>
    <row r="671" spans="1:11" ht="12.95" customHeight="1" x14ac:dyDescent="0.2">
      <c r="A671" s="157"/>
      <c r="B671" s="157"/>
      <c r="C671" s="144">
        <v>6059</v>
      </c>
      <c r="D671" s="185" t="s">
        <v>159</v>
      </c>
      <c r="E671" s="229">
        <f>156903+116225</f>
        <v>273128</v>
      </c>
      <c r="F671" s="229"/>
      <c r="G671" s="229">
        <f>SUM(E671:F671)</f>
        <v>273128</v>
      </c>
      <c r="H671" s="229">
        <f>6974+5166</f>
        <v>12140</v>
      </c>
      <c r="I671" s="229">
        <f>SUM(G671:H671)</f>
        <v>285268</v>
      </c>
      <c r="J671" s="229"/>
      <c r="K671" s="229">
        <f>SUM(I671:J671)</f>
        <v>285268</v>
      </c>
    </row>
    <row r="672" spans="1:11" ht="33.75" customHeight="1" x14ac:dyDescent="0.2">
      <c r="A672" s="152"/>
      <c r="B672" s="152"/>
      <c r="C672" s="307" t="s">
        <v>162</v>
      </c>
      <c r="D672" s="308"/>
      <c r="E672" s="239">
        <f t="shared" ref="E672:K672" si="227">SUM(E670:E671)</f>
        <v>1162245</v>
      </c>
      <c r="F672" s="239">
        <f t="shared" si="227"/>
        <v>0</v>
      </c>
      <c r="G672" s="239">
        <f t="shared" si="227"/>
        <v>1162245</v>
      </c>
      <c r="H672" s="239">
        <f t="shared" si="227"/>
        <v>51660</v>
      </c>
      <c r="I672" s="239">
        <f t="shared" si="227"/>
        <v>1213905</v>
      </c>
      <c r="J672" s="239">
        <f t="shared" si="227"/>
        <v>0</v>
      </c>
      <c r="K672" s="239">
        <f t="shared" si="227"/>
        <v>1213905</v>
      </c>
    </row>
    <row r="673" spans="1:11" ht="12.95" customHeight="1" x14ac:dyDescent="0.2">
      <c r="A673" s="170">
        <v>854</v>
      </c>
      <c r="B673" s="170"/>
      <c r="C673" s="143"/>
      <c r="D673" s="189" t="s">
        <v>130</v>
      </c>
      <c r="E673" s="236">
        <f t="shared" ref="E673:K673" si="228">SUM(E674+E679+E702+E723+E744+E762+E767)</f>
        <v>4373840</v>
      </c>
      <c r="F673" s="236">
        <f t="shared" si="228"/>
        <v>0</v>
      </c>
      <c r="G673" s="236">
        <f t="shared" si="228"/>
        <v>4373840</v>
      </c>
      <c r="H673" s="236">
        <f t="shared" si="228"/>
        <v>-97108</v>
      </c>
      <c r="I673" s="236">
        <f t="shared" si="228"/>
        <v>4276732</v>
      </c>
      <c r="J673" s="236">
        <f t="shared" si="228"/>
        <v>0</v>
      </c>
      <c r="K673" s="236">
        <f t="shared" si="228"/>
        <v>4276732</v>
      </c>
    </row>
    <row r="674" spans="1:11" ht="12.95" customHeight="1" x14ac:dyDescent="0.2">
      <c r="A674" s="167"/>
      <c r="B674" s="167">
        <v>85404</v>
      </c>
      <c r="C674" s="146"/>
      <c r="D674" s="188" t="s">
        <v>245</v>
      </c>
      <c r="E674" s="234">
        <f t="shared" ref="E674:K674" si="229">SUM(E675)</f>
        <v>89193</v>
      </c>
      <c r="F674" s="234">
        <f t="shared" si="229"/>
        <v>0</v>
      </c>
      <c r="G674" s="234">
        <f t="shared" si="229"/>
        <v>89193</v>
      </c>
      <c r="H674" s="234">
        <f t="shared" si="229"/>
        <v>-2151</v>
      </c>
      <c r="I674" s="234">
        <f t="shared" si="229"/>
        <v>87042</v>
      </c>
      <c r="J674" s="234">
        <f t="shared" si="229"/>
        <v>0</v>
      </c>
      <c r="K674" s="234">
        <f t="shared" si="229"/>
        <v>87042</v>
      </c>
    </row>
    <row r="675" spans="1:11" s="127" customFormat="1" ht="12.95" customHeight="1" x14ac:dyDescent="0.2">
      <c r="A675" s="171"/>
      <c r="B675" s="152"/>
      <c r="C675" s="299" t="s">
        <v>152</v>
      </c>
      <c r="D675" s="300"/>
      <c r="E675" s="232">
        <f t="shared" ref="E675:K675" si="230">SUM(E676:E678)</f>
        <v>89193</v>
      </c>
      <c r="F675" s="232">
        <f t="shared" si="230"/>
        <v>0</v>
      </c>
      <c r="G675" s="232">
        <f t="shared" si="230"/>
        <v>89193</v>
      </c>
      <c r="H675" s="232">
        <f t="shared" si="230"/>
        <v>-2151</v>
      </c>
      <c r="I675" s="232">
        <f t="shared" si="230"/>
        <v>87042</v>
      </c>
      <c r="J675" s="232">
        <f t="shared" si="230"/>
        <v>0</v>
      </c>
      <c r="K675" s="232">
        <f t="shared" si="230"/>
        <v>87042</v>
      </c>
    </row>
    <row r="676" spans="1:11" ht="12.95" customHeight="1" x14ac:dyDescent="0.2">
      <c r="A676" s="172"/>
      <c r="B676" s="172"/>
      <c r="C676" s="144">
        <v>4010</v>
      </c>
      <c r="D676" s="185" t="s">
        <v>176</v>
      </c>
      <c r="E676" s="233">
        <v>75493</v>
      </c>
      <c r="F676" s="233"/>
      <c r="G676" s="233">
        <f>SUM(E676:F676)</f>
        <v>75493</v>
      </c>
      <c r="H676" s="233">
        <f>-1551</f>
        <v>-1551</v>
      </c>
      <c r="I676" s="233">
        <f>SUM(G676:H676)</f>
        <v>73942</v>
      </c>
      <c r="J676" s="233"/>
      <c r="K676" s="233">
        <f>SUM(I676:J676)</f>
        <v>73942</v>
      </c>
    </row>
    <row r="677" spans="1:11" ht="12.95" customHeight="1" x14ac:dyDescent="0.2">
      <c r="A677" s="172"/>
      <c r="B677" s="172"/>
      <c r="C677" s="144">
        <v>4110</v>
      </c>
      <c r="D677" s="185" t="s">
        <v>179</v>
      </c>
      <c r="E677" s="233">
        <v>12000</v>
      </c>
      <c r="F677" s="233"/>
      <c r="G677" s="233">
        <f>SUM(E677:F677)</f>
        <v>12000</v>
      </c>
      <c r="H677" s="233">
        <f>-500</f>
        <v>-500</v>
      </c>
      <c r="I677" s="233">
        <f>SUM(G677:H677)</f>
        <v>11500</v>
      </c>
      <c r="J677" s="233"/>
      <c r="K677" s="233">
        <f>SUM(I677:J677)</f>
        <v>11500</v>
      </c>
    </row>
    <row r="678" spans="1:11" ht="12.95" customHeight="1" x14ac:dyDescent="0.2">
      <c r="A678" s="172"/>
      <c r="B678" s="172"/>
      <c r="C678" s="144">
        <v>4120</v>
      </c>
      <c r="D678" s="185" t="s">
        <v>180</v>
      </c>
      <c r="E678" s="233">
        <v>1700</v>
      </c>
      <c r="F678" s="233"/>
      <c r="G678" s="233">
        <f>SUM(E678:F678)</f>
        <v>1700</v>
      </c>
      <c r="H678" s="233">
        <f>-100</f>
        <v>-100</v>
      </c>
      <c r="I678" s="233">
        <f>SUM(G678:H678)</f>
        <v>1600</v>
      </c>
      <c r="J678" s="233"/>
      <c r="K678" s="233">
        <f>SUM(I678:J678)</f>
        <v>1600</v>
      </c>
    </row>
    <row r="679" spans="1:11" ht="12.95" customHeight="1" x14ac:dyDescent="0.2">
      <c r="A679" s="167"/>
      <c r="B679" s="167">
        <v>85406</v>
      </c>
      <c r="C679" s="146"/>
      <c r="D679" s="188" t="s">
        <v>246</v>
      </c>
      <c r="E679" s="234">
        <f t="shared" ref="E679:K679" si="231">SUM(E680+E686+E688+E690)</f>
        <v>871569</v>
      </c>
      <c r="F679" s="234">
        <f t="shared" si="231"/>
        <v>0</v>
      </c>
      <c r="G679" s="234">
        <f t="shared" si="231"/>
        <v>871569</v>
      </c>
      <c r="H679" s="234">
        <f t="shared" si="231"/>
        <v>-16736</v>
      </c>
      <c r="I679" s="234">
        <f t="shared" si="231"/>
        <v>854833</v>
      </c>
      <c r="J679" s="234">
        <f t="shared" si="231"/>
        <v>0</v>
      </c>
      <c r="K679" s="234">
        <f t="shared" si="231"/>
        <v>854833</v>
      </c>
    </row>
    <row r="680" spans="1:11" s="127" customFormat="1" ht="12.95" customHeight="1" x14ac:dyDescent="0.2">
      <c r="A680" s="171"/>
      <c r="B680" s="213"/>
      <c r="C680" s="299" t="s">
        <v>152</v>
      </c>
      <c r="D680" s="300"/>
      <c r="E680" s="232">
        <f t="shared" ref="E680:K680" si="232">SUM(E681:E685)</f>
        <v>597788</v>
      </c>
      <c r="F680" s="232">
        <f t="shared" si="232"/>
        <v>0</v>
      </c>
      <c r="G680" s="232">
        <f t="shared" si="232"/>
        <v>597788</v>
      </c>
      <c r="H680" s="232">
        <f t="shared" si="232"/>
        <v>-16736</v>
      </c>
      <c r="I680" s="232">
        <f t="shared" si="232"/>
        <v>581052</v>
      </c>
      <c r="J680" s="232">
        <f t="shared" si="232"/>
        <v>0</v>
      </c>
      <c r="K680" s="232">
        <f t="shared" si="232"/>
        <v>581052</v>
      </c>
    </row>
    <row r="681" spans="1:11" ht="12.95" customHeight="1" x14ac:dyDescent="0.2">
      <c r="A681" s="172"/>
      <c r="B681" s="172"/>
      <c r="C681" s="144">
        <v>4010</v>
      </c>
      <c r="D681" s="185" t="s">
        <v>176</v>
      </c>
      <c r="E681" s="233">
        <v>465197</v>
      </c>
      <c r="F681" s="233"/>
      <c r="G681" s="233">
        <f>SUM(E681:F681)</f>
        <v>465197</v>
      </c>
      <c r="H681" s="233">
        <f>-14771</f>
        <v>-14771</v>
      </c>
      <c r="I681" s="233">
        <f>SUM(G681:H681)</f>
        <v>450426</v>
      </c>
      <c r="J681" s="233"/>
      <c r="K681" s="233">
        <f>SUM(I681:J681)</f>
        <v>450426</v>
      </c>
    </row>
    <row r="682" spans="1:11" ht="12.95" customHeight="1" x14ac:dyDescent="0.2">
      <c r="A682" s="172"/>
      <c r="B682" s="172"/>
      <c r="C682" s="144">
        <v>4040</v>
      </c>
      <c r="D682" s="185" t="s">
        <v>178</v>
      </c>
      <c r="E682" s="233">
        <v>35858</v>
      </c>
      <c r="F682" s="233"/>
      <c r="G682" s="233">
        <f>SUM(E682:F682)</f>
        <v>35858</v>
      </c>
      <c r="H682" s="233"/>
      <c r="I682" s="233">
        <f>SUM(G682:H682)</f>
        <v>35858</v>
      </c>
      <c r="J682" s="233"/>
      <c r="K682" s="233">
        <f>SUM(I682:J682)</f>
        <v>35858</v>
      </c>
    </row>
    <row r="683" spans="1:11" ht="12.95" customHeight="1" x14ac:dyDescent="0.2">
      <c r="A683" s="172"/>
      <c r="B683" s="172"/>
      <c r="C683" s="144">
        <v>4110</v>
      </c>
      <c r="D683" s="185" t="s">
        <v>179</v>
      </c>
      <c r="E683" s="233">
        <v>83203</v>
      </c>
      <c r="F683" s="233"/>
      <c r="G683" s="233">
        <f>SUM(E683:F683)</f>
        <v>83203</v>
      </c>
      <c r="H683" s="233">
        <f>-1640</f>
        <v>-1640</v>
      </c>
      <c r="I683" s="233">
        <f>SUM(G683:H683)</f>
        <v>81563</v>
      </c>
      <c r="J683" s="233"/>
      <c r="K683" s="233">
        <f>SUM(I683:J683)</f>
        <v>81563</v>
      </c>
    </row>
    <row r="684" spans="1:11" ht="12.95" customHeight="1" x14ac:dyDescent="0.2">
      <c r="A684" s="172"/>
      <c r="B684" s="172"/>
      <c r="C684" s="144">
        <v>4120</v>
      </c>
      <c r="D684" s="185" t="s">
        <v>180</v>
      </c>
      <c r="E684" s="233">
        <v>11880</v>
      </c>
      <c r="F684" s="233"/>
      <c r="G684" s="233">
        <f>SUM(E684:F684)</f>
        <v>11880</v>
      </c>
      <c r="H684" s="233">
        <f>-325</f>
        <v>-325</v>
      </c>
      <c r="I684" s="233">
        <f>SUM(G684:H684)</f>
        <v>11555</v>
      </c>
      <c r="J684" s="233"/>
      <c r="K684" s="233">
        <f>SUM(I684:J684)</f>
        <v>11555</v>
      </c>
    </row>
    <row r="685" spans="1:11" ht="12.95" customHeight="1" x14ac:dyDescent="0.2">
      <c r="A685" s="172"/>
      <c r="B685" s="172"/>
      <c r="C685" s="144">
        <v>4170</v>
      </c>
      <c r="D685" s="192" t="s">
        <v>153</v>
      </c>
      <c r="E685" s="233">
        <v>1650</v>
      </c>
      <c r="F685" s="233"/>
      <c r="G685" s="233">
        <f>SUM(E685:F685)</f>
        <v>1650</v>
      </c>
      <c r="H685" s="233"/>
      <c r="I685" s="233">
        <f>SUM(G685:H685)</f>
        <v>1650</v>
      </c>
      <c r="J685" s="233"/>
      <c r="K685" s="233">
        <f>SUM(I685:J685)</f>
        <v>1650</v>
      </c>
    </row>
    <row r="686" spans="1:11" ht="12.95" customHeight="1" x14ac:dyDescent="0.2">
      <c r="A686" s="172"/>
      <c r="B686" s="172"/>
      <c r="C686" s="303" t="s">
        <v>167</v>
      </c>
      <c r="D686" s="304"/>
      <c r="E686" s="237">
        <f t="shared" ref="E686:K686" si="233">SUM(E687)</f>
        <v>177756</v>
      </c>
      <c r="F686" s="237">
        <f t="shared" si="233"/>
        <v>0</v>
      </c>
      <c r="G686" s="237">
        <f t="shared" si="233"/>
        <v>177756</v>
      </c>
      <c r="H686" s="237">
        <f t="shared" si="233"/>
        <v>0</v>
      </c>
      <c r="I686" s="237">
        <f t="shared" si="233"/>
        <v>177756</v>
      </c>
      <c r="J686" s="237">
        <f t="shared" si="233"/>
        <v>0</v>
      </c>
      <c r="K686" s="237">
        <f t="shared" si="233"/>
        <v>177756</v>
      </c>
    </row>
    <row r="687" spans="1:11" ht="12.95" customHeight="1" x14ac:dyDescent="0.2">
      <c r="A687" s="172"/>
      <c r="B687" s="172"/>
      <c r="C687" s="157">
        <v>2540</v>
      </c>
      <c r="D687" s="192" t="s">
        <v>242</v>
      </c>
      <c r="E687" s="233">
        <v>177756</v>
      </c>
      <c r="F687" s="233"/>
      <c r="G687" s="233">
        <f>SUM(E687:F687)</f>
        <v>177756</v>
      </c>
      <c r="H687" s="233"/>
      <c r="I687" s="233">
        <f>SUM(G687:H687)</f>
        <v>177756</v>
      </c>
      <c r="J687" s="233"/>
      <c r="K687" s="233">
        <f>SUM(I687:J687)</f>
        <v>177756</v>
      </c>
    </row>
    <row r="688" spans="1:11" s="127" customFormat="1" ht="12.95" customHeight="1" x14ac:dyDescent="0.2">
      <c r="A688" s="171"/>
      <c r="B688" s="152"/>
      <c r="C688" s="299" t="s">
        <v>150</v>
      </c>
      <c r="D688" s="300"/>
      <c r="E688" s="232">
        <f t="shared" ref="E688:K688" si="234">SUM(E689)</f>
        <v>1147</v>
      </c>
      <c r="F688" s="232">
        <f t="shared" si="234"/>
        <v>0</v>
      </c>
      <c r="G688" s="232">
        <f t="shared" si="234"/>
        <v>1147</v>
      </c>
      <c r="H688" s="232">
        <f t="shared" si="234"/>
        <v>0</v>
      </c>
      <c r="I688" s="232">
        <f t="shared" si="234"/>
        <v>1147</v>
      </c>
      <c r="J688" s="232">
        <f t="shared" si="234"/>
        <v>0</v>
      </c>
      <c r="K688" s="232">
        <f t="shared" si="234"/>
        <v>1147</v>
      </c>
    </row>
    <row r="689" spans="1:11" ht="12.95" customHeight="1" x14ac:dyDescent="0.2">
      <c r="A689" s="172"/>
      <c r="B689" s="172"/>
      <c r="C689" s="144">
        <v>3020</v>
      </c>
      <c r="D689" s="192" t="s">
        <v>181</v>
      </c>
      <c r="E689" s="233">
        <v>1147</v>
      </c>
      <c r="F689" s="233"/>
      <c r="G689" s="233">
        <f>SUM(E689:F689)</f>
        <v>1147</v>
      </c>
      <c r="H689" s="233"/>
      <c r="I689" s="233">
        <f>SUM(G689:H689)</f>
        <v>1147</v>
      </c>
      <c r="J689" s="233"/>
      <c r="K689" s="233">
        <f>SUM(I689:J689)</f>
        <v>1147</v>
      </c>
    </row>
    <row r="690" spans="1:11" s="127" customFormat="1" ht="26.25" customHeight="1" x14ac:dyDescent="0.2">
      <c r="A690" s="171"/>
      <c r="B690" s="207"/>
      <c r="C690" s="292" t="s">
        <v>294</v>
      </c>
      <c r="D690" s="293"/>
      <c r="E690" s="232">
        <f t="shared" ref="E690:K690" si="235">SUM(E691:E701)</f>
        <v>94878</v>
      </c>
      <c r="F690" s="232">
        <f t="shared" si="235"/>
        <v>0</v>
      </c>
      <c r="G690" s="232">
        <f t="shared" si="235"/>
        <v>94878</v>
      </c>
      <c r="H690" s="232">
        <f t="shared" si="235"/>
        <v>0</v>
      </c>
      <c r="I690" s="232">
        <f t="shared" si="235"/>
        <v>94878</v>
      </c>
      <c r="J690" s="232">
        <f t="shared" si="235"/>
        <v>0</v>
      </c>
      <c r="K690" s="232">
        <f t="shared" si="235"/>
        <v>94878</v>
      </c>
    </row>
    <row r="691" spans="1:11" ht="12.95" customHeight="1" x14ac:dyDescent="0.2">
      <c r="A691" s="172"/>
      <c r="B691" s="172"/>
      <c r="C691" s="144">
        <v>4210</v>
      </c>
      <c r="D691" s="192" t="s">
        <v>154</v>
      </c>
      <c r="E691" s="233">
        <v>3615</v>
      </c>
      <c r="F691" s="233"/>
      <c r="G691" s="233">
        <f>SUM(E691:F691)</f>
        <v>3615</v>
      </c>
      <c r="H691" s="233"/>
      <c r="I691" s="233">
        <f>SUM(G691:H691)</f>
        <v>3615</v>
      </c>
      <c r="J691" s="233"/>
      <c r="K691" s="233">
        <f>SUM(I691:J691)</f>
        <v>3615</v>
      </c>
    </row>
    <row r="692" spans="1:11" ht="12.95" customHeight="1" x14ac:dyDescent="0.2">
      <c r="A692" s="172"/>
      <c r="B692" s="172"/>
      <c r="C692" s="144">
        <v>4240</v>
      </c>
      <c r="D692" s="192" t="s">
        <v>212</v>
      </c>
      <c r="E692" s="233">
        <v>700</v>
      </c>
      <c r="F692" s="233"/>
      <c r="G692" s="233">
        <f t="shared" ref="G692:G701" si="236">SUM(E692:F692)</f>
        <v>700</v>
      </c>
      <c r="H692" s="233"/>
      <c r="I692" s="233">
        <f t="shared" ref="I692:I701" si="237">SUM(G692:H692)</f>
        <v>700</v>
      </c>
      <c r="J692" s="233"/>
      <c r="K692" s="233">
        <f t="shared" ref="K692:K701" si="238">SUM(I692:J692)</f>
        <v>700</v>
      </c>
    </row>
    <row r="693" spans="1:11" ht="12.95" customHeight="1" x14ac:dyDescent="0.2">
      <c r="A693" s="172"/>
      <c r="B693" s="172"/>
      <c r="C693" s="144">
        <v>4260</v>
      </c>
      <c r="D693" s="185" t="s">
        <v>155</v>
      </c>
      <c r="E693" s="233">
        <v>37700</v>
      </c>
      <c r="F693" s="233"/>
      <c r="G693" s="233">
        <f t="shared" si="236"/>
        <v>37700</v>
      </c>
      <c r="H693" s="233">
        <f>-200</f>
        <v>-200</v>
      </c>
      <c r="I693" s="233">
        <f t="shared" si="237"/>
        <v>37500</v>
      </c>
      <c r="J693" s="233"/>
      <c r="K693" s="233">
        <f t="shared" si="238"/>
        <v>37500</v>
      </c>
    </row>
    <row r="694" spans="1:11" ht="12.95" customHeight="1" x14ac:dyDescent="0.2">
      <c r="A694" s="172"/>
      <c r="B694" s="172"/>
      <c r="C694" s="144">
        <v>4270</v>
      </c>
      <c r="D694" s="185" t="s">
        <v>156</v>
      </c>
      <c r="E694" s="233">
        <v>500</v>
      </c>
      <c r="F694" s="233"/>
      <c r="G694" s="233">
        <f t="shared" si="236"/>
        <v>500</v>
      </c>
      <c r="H694" s="233">
        <f>200</f>
        <v>200</v>
      </c>
      <c r="I694" s="233">
        <f t="shared" si="237"/>
        <v>700</v>
      </c>
      <c r="J694" s="233"/>
      <c r="K694" s="233">
        <f t="shared" si="238"/>
        <v>700</v>
      </c>
    </row>
    <row r="695" spans="1:11" ht="12.95" customHeight="1" x14ac:dyDescent="0.2">
      <c r="A695" s="172"/>
      <c r="B695" s="172"/>
      <c r="C695" s="144">
        <v>4280</v>
      </c>
      <c r="D695" s="191" t="s">
        <v>182</v>
      </c>
      <c r="E695" s="233">
        <v>405</v>
      </c>
      <c r="F695" s="233"/>
      <c r="G695" s="233">
        <f t="shared" si="236"/>
        <v>405</v>
      </c>
      <c r="H695" s="233"/>
      <c r="I695" s="233">
        <f t="shared" si="237"/>
        <v>405</v>
      </c>
      <c r="J695" s="233"/>
      <c r="K695" s="233">
        <f t="shared" si="238"/>
        <v>405</v>
      </c>
    </row>
    <row r="696" spans="1:11" ht="12.95" customHeight="1" x14ac:dyDescent="0.2">
      <c r="A696" s="172"/>
      <c r="B696" s="172"/>
      <c r="C696" s="144">
        <v>4300</v>
      </c>
      <c r="D696" s="185" t="s">
        <v>145</v>
      </c>
      <c r="E696" s="233">
        <v>6922</v>
      </c>
      <c r="F696" s="233"/>
      <c r="G696" s="233">
        <f t="shared" si="236"/>
        <v>6922</v>
      </c>
      <c r="H696" s="233"/>
      <c r="I696" s="233">
        <f t="shared" si="237"/>
        <v>6922</v>
      </c>
      <c r="J696" s="233"/>
      <c r="K696" s="233">
        <f t="shared" si="238"/>
        <v>6922</v>
      </c>
    </row>
    <row r="697" spans="1:11" ht="12.95" customHeight="1" x14ac:dyDescent="0.2">
      <c r="A697" s="172"/>
      <c r="B697" s="172"/>
      <c r="C697" s="144">
        <v>4360</v>
      </c>
      <c r="D697" s="185" t="s">
        <v>307</v>
      </c>
      <c r="E697" s="233">
        <v>2260</v>
      </c>
      <c r="F697" s="233"/>
      <c r="G697" s="233">
        <f t="shared" si="236"/>
        <v>2260</v>
      </c>
      <c r="H697" s="233"/>
      <c r="I697" s="233">
        <f t="shared" si="237"/>
        <v>2260</v>
      </c>
      <c r="J697" s="233"/>
      <c r="K697" s="233">
        <f t="shared" si="238"/>
        <v>2260</v>
      </c>
    </row>
    <row r="698" spans="1:11" ht="12.95" customHeight="1" x14ac:dyDescent="0.2">
      <c r="A698" s="172"/>
      <c r="B698" s="172"/>
      <c r="C698" s="145">
        <v>4410</v>
      </c>
      <c r="D698" s="191" t="s">
        <v>171</v>
      </c>
      <c r="E698" s="233">
        <v>300</v>
      </c>
      <c r="F698" s="233"/>
      <c r="G698" s="233">
        <f t="shared" si="236"/>
        <v>300</v>
      </c>
      <c r="H698" s="233"/>
      <c r="I698" s="233">
        <f t="shared" si="237"/>
        <v>300</v>
      </c>
      <c r="J698" s="233"/>
      <c r="K698" s="233">
        <f t="shared" si="238"/>
        <v>300</v>
      </c>
    </row>
    <row r="699" spans="1:11" ht="12.95" customHeight="1" x14ac:dyDescent="0.2">
      <c r="A699" s="172"/>
      <c r="B699" s="172"/>
      <c r="C699" s="144">
        <v>4430</v>
      </c>
      <c r="D699" s="185" t="s">
        <v>157</v>
      </c>
      <c r="E699" s="233">
        <v>1400</v>
      </c>
      <c r="F699" s="233"/>
      <c r="G699" s="233">
        <f t="shared" si="236"/>
        <v>1400</v>
      </c>
      <c r="H699" s="233"/>
      <c r="I699" s="233">
        <f t="shared" si="237"/>
        <v>1400</v>
      </c>
      <c r="J699" s="233"/>
      <c r="K699" s="233">
        <f t="shared" si="238"/>
        <v>1400</v>
      </c>
    </row>
    <row r="700" spans="1:11" x14ac:dyDescent="0.2">
      <c r="A700" s="172"/>
      <c r="B700" s="172"/>
      <c r="C700" s="145">
        <v>4440</v>
      </c>
      <c r="D700" s="191" t="s">
        <v>186</v>
      </c>
      <c r="E700" s="233">
        <v>40376</v>
      </c>
      <c r="F700" s="233"/>
      <c r="G700" s="233">
        <f t="shared" si="236"/>
        <v>40376</v>
      </c>
      <c r="H700" s="233"/>
      <c r="I700" s="233">
        <f t="shared" si="237"/>
        <v>40376</v>
      </c>
      <c r="J700" s="233"/>
      <c r="K700" s="233">
        <f t="shared" si="238"/>
        <v>40376</v>
      </c>
    </row>
    <row r="701" spans="1:11" x14ac:dyDescent="0.2">
      <c r="A701" s="172"/>
      <c r="B701" s="172"/>
      <c r="C701" s="145">
        <v>4700</v>
      </c>
      <c r="D701" s="185" t="s">
        <v>173</v>
      </c>
      <c r="E701" s="233">
        <v>700</v>
      </c>
      <c r="F701" s="233"/>
      <c r="G701" s="233">
        <f t="shared" si="236"/>
        <v>700</v>
      </c>
      <c r="H701" s="233"/>
      <c r="I701" s="233">
        <f t="shared" si="237"/>
        <v>700</v>
      </c>
      <c r="J701" s="233"/>
      <c r="K701" s="233">
        <f t="shared" si="238"/>
        <v>700</v>
      </c>
    </row>
    <row r="702" spans="1:11" ht="12.95" customHeight="1" x14ac:dyDescent="0.2">
      <c r="A702" s="167"/>
      <c r="B702" s="167">
        <v>85407</v>
      </c>
      <c r="C702" s="146"/>
      <c r="D702" s="188" t="s">
        <v>247</v>
      </c>
      <c r="E702" s="234">
        <f t="shared" ref="E702:K702" si="239">SUM(E703+E709+E711)</f>
        <v>1166763</v>
      </c>
      <c r="F702" s="234">
        <f t="shared" si="239"/>
        <v>56668</v>
      </c>
      <c r="G702" s="234">
        <f t="shared" si="239"/>
        <v>1223431</v>
      </c>
      <c r="H702" s="234">
        <f t="shared" si="239"/>
        <v>-28144</v>
      </c>
      <c r="I702" s="234">
        <f t="shared" si="239"/>
        <v>1195287</v>
      </c>
      <c r="J702" s="234">
        <f t="shared" si="239"/>
        <v>55264</v>
      </c>
      <c r="K702" s="234">
        <f t="shared" si="239"/>
        <v>1250551</v>
      </c>
    </row>
    <row r="703" spans="1:11" s="127" customFormat="1" ht="12.95" customHeight="1" x14ac:dyDescent="0.2">
      <c r="A703" s="171"/>
      <c r="B703" s="152"/>
      <c r="C703" s="299" t="s">
        <v>152</v>
      </c>
      <c r="D703" s="300"/>
      <c r="E703" s="232">
        <f t="shared" ref="E703:K703" si="240">SUM(E704:E708)</f>
        <v>921940</v>
      </c>
      <c r="F703" s="232">
        <f t="shared" si="240"/>
        <v>0</v>
      </c>
      <c r="G703" s="232">
        <f t="shared" si="240"/>
        <v>921940</v>
      </c>
      <c r="H703" s="232">
        <f t="shared" si="240"/>
        <v>-3139</v>
      </c>
      <c r="I703" s="232">
        <f t="shared" si="240"/>
        <v>918801</v>
      </c>
      <c r="J703" s="232">
        <f t="shared" si="240"/>
        <v>0</v>
      </c>
      <c r="K703" s="232">
        <f t="shared" si="240"/>
        <v>918801</v>
      </c>
    </row>
    <row r="704" spans="1:11" ht="12.95" customHeight="1" x14ac:dyDescent="0.2">
      <c r="A704" s="172"/>
      <c r="B704" s="172"/>
      <c r="C704" s="144">
        <v>4010</v>
      </c>
      <c r="D704" s="185" t="s">
        <v>176</v>
      </c>
      <c r="E704" s="250">
        <v>702542</v>
      </c>
      <c r="F704" s="250"/>
      <c r="G704" s="250">
        <f>SUM(E704:F704)</f>
        <v>702542</v>
      </c>
      <c r="H704" s="250"/>
      <c r="I704" s="250">
        <f>SUM(G704:H704)</f>
        <v>702542</v>
      </c>
      <c r="J704" s="250"/>
      <c r="K704" s="250">
        <f>SUM(I704:J704)</f>
        <v>702542</v>
      </c>
    </row>
    <row r="705" spans="1:11" ht="12.95" customHeight="1" x14ac:dyDescent="0.2">
      <c r="A705" s="172"/>
      <c r="B705" s="172"/>
      <c r="C705" s="144">
        <v>4040</v>
      </c>
      <c r="D705" s="185" t="s">
        <v>178</v>
      </c>
      <c r="E705" s="250">
        <v>60845</v>
      </c>
      <c r="F705" s="250"/>
      <c r="G705" s="250">
        <f>SUM(E705:F705)</f>
        <v>60845</v>
      </c>
      <c r="H705" s="250">
        <f>-3139</f>
        <v>-3139</v>
      </c>
      <c r="I705" s="250">
        <f>SUM(G705:H705)</f>
        <v>57706</v>
      </c>
      <c r="J705" s="250"/>
      <c r="K705" s="250">
        <f>SUM(I705:J705)</f>
        <v>57706</v>
      </c>
    </row>
    <row r="706" spans="1:11" ht="12.95" customHeight="1" x14ac:dyDescent="0.2">
      <c r="A706" s="172"/>
      <c r="B706" s="172"/>
      <c r="C706" s="144">
        <v>4110</v>
      </c>
      <c r="D706" s="185" t="s">
        <v>179</v>
      </c>
      <c r="E706" s="250">
        <v>130983</v>
      </c>
      <c r="F706" s="250"/>
      <c r="G706" s="250">
        <f>SUM(E706:F706)</f>
        <v>130983</v>
      </c>
      <c r="H706" s="250"/>
      <c r="I706" s="250">
        <f>SUM(G706:H706)</f>
        <v>130983</v>
      </c>
      <c r="J706" s="250"/>
      <c r="K706" s="250">
        <f>SUM(I706:J706)</f>
        <v>130983</v>
      </c>
    </row>
    <row r="707" spans="1:11" ht="12.95" customHeight="1" x14ac:dyDescent="0.2">
      <c r="A707" s="172"/>
      <c r="B707" s="172"/>
      <c r="C707" s="144">
        <v>4120</v>
      </c>
      <c r="D707" s="185" t="s">
        <v>180</v>
      </c>
      <c r="E707" s="250">
        <v>16070</v>
      </c>
      <c r="F707" s="250"/>
      <c r="G707" s="250">
        <f>SUM(E707:F707)</f>
        <v>16070</v>
      </c>
      <c r="H707" s="250"/>
      <c r="I707" s="250">
        <f>SUM(G707:H707)</f>
        <v>16070</v>
      </c>
      <c r="J707" s="250"/>
      <c r="K707" s="250">
        <f>SUM(I707:J707)</f>
        <v>16070</v>
      </c>
    </row>
    <row r="708" spans="1:11" ht="12.95" customHeight="1" x14ac:dyDescent="0.2">
      <c r="A708" s="172"/>
      <c r="B708" s="172"/>
      <c r="C708" s="144">
        <v>4170</v>
      </c>
      <c r="D708" s="192" t="s">
        <v>153</v>
      </c>
      <c r="E708" s="250">
        <v>11500</v>
      </c>
      <c r="F708" s="250"/>
      <c r="G708" s="250">
        <f>SUM(E708:F708)</f>
        <v>11500</v>
      </c>
      <c r="H708" s="250"/>
      <c r="I708" s="250">
        <f>SUM(G708:H708)</f>
        <v>11500</v>
      </c>
      <c r="J708" s="250"/>
      <c r="K708" s="250">
        <f>SUM(I708:J708)</f>
        <v>11500</v>
      </c>
    </row>
    <row r="709" spans="1:11" s="127" customFormat="1" ht="12.95" customHeight="1" x14ac:dyDescent="0.2">
      <c r="A709" s="171"/>
      <c r="B709" s="152"/>
      <c r="C709" s="299" t="s">
        <v>150</v>
      </c>
      <c r="D709" s="300"/>
      <c r="E709" s="232">
        <f t="shared" ref="E709:K709" si="241">SUM(E710)</f>
        <v>3740</v>
      </c>
      <c r="F709" s="232">
        <f t="shared" si="241"/>
        <v>0</v>
      </c>
      <c r="G709" s="232">
        <f t="shared" si="241"/>
        <v>3740</v>
      </c>
      <c r="H709" s="232">
        <f t="shared" si="241"/>
        <v>0</v>
      </c>
      <c r="I709" s="232">
        <f t="shared" si="241"/>
        <v>3740</v>
      </c>
      <c r="J709" s="232">
        <f t="shared" si="241"/>
        <v>0</v>
      </c>
      <c r="K709" s="232">
        <f t="shared" si="241"/>
        <v>3740</v>
      </c>
    </row>
    <row r="710" spans="1:11" ht="12.95" customHeight="1" x14ac:dyDescent="0.2">
      <c r="A710" s="172"/>
      <c r="B710" s="172"/>
      <c r="C710" s="144">
        <v>3020</v>
      </c>
      <c r="D710" s="192" t="s">
        <v>181</v>
      </c>
      <c r="E710" s="250">
        <v>3740</v>
      </c>
      <c r="F710" s="250"/>
      <c r="G710" s="250">
        <f>SUM(E710:F710)</f>
        <v>3740</v>
      </c>
      <c r="H710" s="250"/>
      <c r="I710" s="250">
        <f>SUM(G710:H710)</f>
        <v>3740</v>
      </c>
      <c r="J710" s="250"/>
      <c r="K710" s="250">
        <f>SUM(I710:J710)</f>
        <v>3740</v>
      </c>
    </row>
    <row r="711" spans="1:11" s="127" customFormat="1" ht="27" customHeight="1" x14ac:dyDescent="0.2">
      <c r="A711" s="171"/>
      <c r="B711" s="207"/>
      <c r="C711" s="292" t="s">
        <v>294</v>
      </c>
      <c r="D711" s="293"/>
      <c r="E711" s="251">
        <f t="shared" ref="E711:K711" si="242">SUM(E712:E722)</f>
        <v>241083</v>
      </c>
      <c r="F711" s="251">
        <f t="shared" si="242"/>
        <v>56668</v>
      </c>
      <c r="G711" s="251">
        <f t="shared" si="242"/>
        <v>297751</v>
      </c>
      <c r="H711" s="251">
        <f t="shared" si="242"/>
        <v>-25005</v>
      </c>
      <c r="I711" s="251">
        <f t="shared" si="242"/>
        <v>272746</v>
      </c>
      <c r="J711" s="251">
        <f t="shared" si="242"/>
        <v>55264</v>
      </c>
      <c r="K711" s="251">
        <f t="shared" si="242"/>
        <v>328010</v>
      </c>
    </row>
    <row r="712" spans="1:11" ht="12.95" customHeight="1" x14ac:dyDescent="0.2">
      <c r="A712" s="172"/>
      <c r="B712" s="172"/>
      <c r="C712" s="144">
        <v>4210</v>
      </c>
      <c r="D712" s="192" t="s">
        <v>154</v>
      </c>
      <c r="E712" s="250">
        <v>48000</v>
      </c>
      <c r="F712" s="250">
        <v>21068</v>
      </c>
      <c r="G712" s="250">
        <f>SUM(E712:F712)</f>
        <v>69068</v>
      </c>
      <c r="H712" s="250">
        <f>-6345</f>
        <v>-6345</v>
      </c>
      <c r="I712" s="250">
        <f>SUM(G712:H712)</f>
        <v>62723</v>
      </c>
      <c r="J712" s="250"/>
      <c r="K712" s="250">
        <f>SUM(I712:J712)</f>
        <v>62723</v>
      </c>
    </row>
    <row r="713" spans="1:11" ht="12.95" customHeight="1" x14ac:dyDescent="0.2">
      <c r="A713" s="172"/>
      <c r="B713" s="172"/>
      <c r="C713" s="144">
        <v>4240</v>
      </c>
      <c r="D713" s="192" t="s">
        <v>212</v>
      </c>
      <c r="E713" s="250">
        <v>12260</v>
      </c>
      <c r="F713" s="250"/>
      <c r="G713" s="250">
        <f t="shared" ref="G713:G722" si="243">SUM(E713:F713)</f>
        <v>12260</v>
      </c>
      <c r="H713" s="250">
        <f>-5860</f>
        <v>-5860</v>
      </c>
      <c r="I713" s="250">
        <f t="shared" ref="I713:I722" si="244">SUM(G713:H713)</f>
        <v>6400</v>
      </c>
      <c r="J713" s="250"/>
      <c r="K713" s="250">
        <f t="shared" ref="K713:K722" si="245">SUM(I713:J713)</f>
        <v>6400</v>
      </c>
    </row>
    <row r="714" spans="1:11" ht="12.95" customHeight="1" x14ac:dyDescent="0.2">
      <c r="A714" s="172"/>
      <c r="B714" s="172"/>
      <c r="C714" s="144">
        <v>4260</v>
      </c>
      <c r="D714" s="185" t="s">
        <v>155</v>
      </c>
      <c r="E714" s="250">
        <v>21850</v>
      </c>
      <c r="F714" s="250"/>
      <c r="G714" s="250">
        <f t="shared" si="243"/>
        <v>21850</v>
      </c>
      <c r="H714" s="250">
        <f>-3000</f>
        <v>-3000</v>
      </c>
      <c r="I714" s="250">
        <f t="shared" si="244"/>
        <v>18850</v>
      </c>
      <c r="J714" s="250">
        <v>45000</v>
      </c>
      <c r="K714" s="250">
        <f t="shared" si="245"/>
        <v>63850</v>
      </c>
    </row>
    <row r="715" spans="1:11" ht="12.95" customHeight="1" x14ac:dyDescent="0.2">
      <c r="A715" s="172"/>
      <c r="B715" s="172"/>
      <c r="C715" s="144">
        <v>4270</v>
      </c>
      <c r="D715" s="185" t="s">
        <v>156</v>
      </c>
      <c r="E715" s="250">
        <v>9000</v>
      </c>
      <c r="F715" s="250">
        <v>35000</v>
      </c>
      <c r="G715" s="250">
        <f t="shared" si="243"/>
        <v>44000</v>
      </c>
      <c r="H715" s="250">
        <f>-3000</f>
        <v>-3000</v>
      </c>
      <c r="I715" s="250">
        <f t="shared" si="244"/>
        <v>41000</v>
      </c>
      <c r="J715" s="250">
        <v>10264</v>
      </c>
      <c r="K715" s="250">
        <f t="shared" si="245"/>
        <v>51264</v>
      </c>
    </row>
    <row r="716" spans="1:11" ht="12.95" customHeight="1" x14ac:dyDescent="0.2">
      <c r="A716" s="172"/>
      <c r="B716" s="172"/>
      <c r="C716" s="144">
        <v>4280</v>
      </c>
      <c r="D716" s="191" t="s">
        <v>182</v>
      </c>
      <c r="E716" s="250">
        <v>1000</v>
      </c>
      <c r="F716" s="250"/>
      <c r="G716" s="250">
        <f t="shared" si="243"/>
        <v>1000</v>
      </c>
      <c r="H716" s="250"/>
      <c r="I716" s="250">
        <f t="shared" si="244"/>
        <v>1000</v>
      </c>
      <c r="J716" s="250"/>
      <c r="K716" s="250">
        <f t="shared" si="245"/>
        <v>1000</v>
      </c>
    </row>
    <row r="717" spans="1:11" ht="12.95" customHeight="1" x14ac:dyDescent="0.2">
      <c r="A717" s="172"/>
      <c r="B717" s="172"/>
      <c r="C717" s="144">
        <v>4300</v>
      </c>
      <c r="D717" s="185" t="s">
        <v>145</v>
      </c>
      <c r="E717" s="250">
        <v>85900</v>
      </c>
      <c r="F717" s="250">
        <v>600</v>
      </c>
      <c r="G717" s="250">
        <f t="shared" si="243"/>
        <v>86500</v>
      </c>
      <c r="H717" s="250">
        <f>-5800</f>
        <v>-5800</v>
      </c>
      <c r="I717" s="250">
        <f t="shared" si="244"/>
        <v>80700</v>
      </c>
      <c r="J717" s="250"/>
      <c r="K717" s="250">
        <f t="shared" si="245"/>
        <v>80700</v>
      </c>
    </row>
    <row r="718" spans="1:11" ht="12.95" customHeight="1" x14ac:dyDescent="0.2">
      <c r="A718" s="172"/>
      <c r="B718" s="172"/>
      <c r="C718" s="144">
        <v>4360</v>
      </c>
      <c r="D718" s="185" t="s">
        <v>307</v>
      </c>
      <c r="E718" s="250">
        <v>7450</v>
      </c>
      <c r="F718" s="250"/>
      <c r="G718" s="250">
        <f t="shared" si="243"/>
        <v>7450</v>
      </c>
      <c r="H718" s="250">
        <f>-1000</f>
        <v>-1000</v>
      </c>
      <c r="I718" s="250">
        <f t="shared" si="244"/>
        <v>6450</v>
      </c>
      <c r="J718" s="250"/>
      <c r="K718" s="250">
        <f t="shared" si="245"/>
        <v>6450</v>
      </c>
    </row>
    <row r="719" spans="1:11" ht="12.95" customHeight="1" x14ac:dyDescent="0.2">
      <c r="A719" s="172"/>
      <c r="B719" s="172"/>
      <c r="C719" s="145">
        <v>4410</v>
      </c>
      <c r="D719" s="191" t="s">
        <v>171</v>
      </c>
      <c r="E719" s="250">
        <v>1000</v>
      </c>
      <c r="F719" s="250"/>
      <c r="G719" s="250">
        <f t="shared" si="243"/>
        <v>1000</v>
      </c>
      <c r="H719" s="250">
        <f>-200</f>
        <v>-200</v>
      </c>
      <c r="I719" s="250">
        <f t="shared" si="244"/>
        <v>800</v>
      </c>
      <c r="J719" s="250"/>
      <c r="K719" s="250">
        <f t="shared" si="245"/>
        <v>800</v>
      </c>
    </row>
    <row r="720" spans="1:11" ht="12.95" customHeight="1" x14ac:dyDescent="0.2">
      <c r="A720" s="172"/>
      <c r="B720" s="172"/>
      <c r="C720" s="145">
        <v>4430</v>
      </c>
      <c r="D720" s="191" t="s">
        <v>157</v>
      </c>
      <c r="E720" s="250">
        <v>6100</v>
      </c>
      <c r="F720" s="250"/>
      <c r="G720" s="250">
        <f t="shared" si="243"/>
        <v>6100</v>
      </c>
      <c r="H720" s="250">
        <f>-600</f>
        <v>-600</v>
      </c>
      <c r="I720" s="250">
        <f t="shared" si="244"/>
        <v>5500</v>
      </c>
      <c r="J720" s="250"/>
      <c r="K720" s="250">
        <f t="shared" si="245"/>
        <v>5500</v>
      </c>
    </row>
    <row r="721" spans="1:11" ht="12.95" customHeight="1" x14ac:dyDescent="0.2">
      <c r="A721" s="172"/>
      <c r="B721" s="172"/>
      <c r="C721" s="145">
        <v>4440</v>
      </c>
      <c r="D721" s="191" t="s">
        <v>186</v>
      </c>
      <c r="E721" s="250">
        <v>47523</v>
      </c>
      <c r="F721" s="250"/>
      <c r="G721" s="250">
        <f t="shared" si="243"/>
        <v>47523</v>
      </c>
      <c r="H721" s="250"/>
      <c r="I721" s="250">
        <f t="shared" si="244"/>
        <v>47523</v>
      </c>
      <c r="J721" s="250"/>
      <c r="K721" s="250">
        <f t="shared" si="245"/>
        <v>47523</v>
      </c>
    </row>
    <row r="722" spans="1:11" ht="12.95" customHeight="1" x14ac:dyDescent="0.2">
      <c r="A722" s="172"/>
      <c r="B722" s="172"/>
      <c r="C722" s="145">
        <v>4700</v>
      </c>
      <c r="D722" s="191" t="s">
        <v>173</v>
      </c>
      <c r="E722" s="250">
        <v>1000</v>
      </c>
      <c r="F722" s="250"/>
      <c r="G722" s="250">
        <f t="shared" si="243"/>
        <v>1000</v>
      </c>
      <c r="H722" s="250">
        <f>800</f>
        <v>800</v>
      </c>
      <c r="I722" s="250">
        <f t="shared" si="244"/>
        <v>1800</v>
      </c>
      <c r="J722" s="250"/>
      <c r="K722" s="250">
        <f t="shared" si="245"/>
        <v>1800</v>
      </c>
    </row>
    <row r="723" spans="1:11" ht="12.95" customHeight="1" x14ac:dyDescent="0.2">
      <c r="A723" s="167"/>
      <c r="B723" s="167">
        <v>85410</v>
      </c>
      <c r="C723" s="146"/>
      <c r="D723" s="188" t="s">
        <v>248</v>
      </c>
      <c r="E723" s="234">
        <f t="shared" ref="E723:K723" si="246">SUM(E724,E730,E732)</f>
        <v>1777650</v>
      </c>
      <c r="F723" s="234">
        <f t="shared" si="246"/>
        <v>0</v>
      </c>
      <c r="G723" s="234">
        <f t="shared" si="246"/>
        <v>1777650</v>
      </c>
      <c r="H723" s="234">
        <f t="shared" si="246"/>
        <v>-42879</v>
      </c>
      <c r="I723" s="234">
        <f t="shared" si="246"/>
        <v>1734771</v>
      </c>
      <c r="J723" s="234">
        <f t="shared" si="246"/>
        <v>0</v>
      </c>
      <c r="K723" s="234">
        <f t="shared" si="246"/>
        <v>1734771</v>
      </c>
    </row>
    <row r="724" spans="1:11" s="127" customFormat="1" ht="12.95" customHeight="1" x14ac:dyDescent="0.2">
      <c r="A724" s="171"/>
      <c r="B724" s="152"/>
      <c r="C724" s="299" t="s">
        <v>152</v>
      </c>
      <c r="D724" s="300"/>
      <c r="E724" s="232">
        <f t="shared" ref="E724:K724" si="247">SUM(E725:E729)</f>
        <v>893836</v>
      </c>
      <c r="F724" s="232">
        <f t="shared" si="247"/>
        <v>0</v>
      </c>
      <c r="G724" s="232">
        <f t="shared" si="247"/>
        <v>893836</v>
      </c>
      <c r="H724" s="232">
        <f t="shared" si="247"/>
        <v>-3069</v>
      </c>
      <c r="I724" s="232">
        <f t="shared" si="247"/>
        <v>890767</v>
      </c>
      <c r="J724" s="232">
        <f t="shared" si="247"/>
        <v>0</v>
      </c>
      <c r="K724" s="232">
        <f t="shared" si="247"/>
        <v>890767</v>
      </c>
    </row>
    <row r="725" spans="1:11" ht="12.95" customHeight="1" x14ac:dyDescent="0.2">
      <c r="A725" s="172"/>
      <c r="B725" s="172"/>
      <c r="C725" s="144">
        <v>4010</v>
      </c>
      <c r="D725" s="185" t="s">
        <v>176</v>
      </c>
      <c r="E725" s="233">
        <f>348840+326890</f>
        <v>675730</v>
      </c>
      <c r="F725" s="233"/>
      <c r="G725" s="233">
        <f>SUM(E725:F725)</f>
        <v>675730</v>
      </c>
      <c r="H725" s="233"/>
      <c r="I725" s="233">
        <f>SUM(G725:H725)</f>
        <v>675730</v>
      </c>
      <c r="J725" s="233"/>
      <c r="K725" s="233">
        <f>SUM(I725:J725)</f>
        <v>675730</v>
      </c>
    </row>
    <row r="726" spans="1:11" ht="12.95" customHeight="1" x14ac:dyDescent="0.2">
      <c r="A726" s="172"/>
      <c r="B726" s="172"/>
      <c r="C726" s="144">
        <v>4040</v>
      </c>
      <c r="D726" s="185" t="s">
        <v>178</v>
      </c>
      <c r="E726" s="233">
        <f>32821+27936</f>
        <v>60757</v>
      </c>
      <c r="F726" s="233"/>
      <c r="G726" s="233">
        <f>SUM(E726:F726)</f>
        <v>60757</v>
      </c>
      <c r="H726" s="233">
        <f>-1069</f>
        <v>-1069</v>
      </c>
      <c r="I726" s="233">
        <f>SUM(G726:H726)</f>
        <v>59688</v>
      </c>
      <c r="J726" s="233"/>
      <c r="K726" s="233">
        <f>SUM(I726:J726)</f>
        <v>59688</v>
      </c>
    </row>
    <row r="727" spans="1:11" ht="12.95" customHeight="1" x14ac:dyDescent="0.2">
      <c r="A727" s="172"/>
      <c r="B727" s="172"/>
      <c r="C727" s="144">
        <v>4110</v>
      </c>
      <c r="D727" s="185" t="s">
        <v>179</v>
      </c>
      <c r="E727" s="233">
        <f>77245+57600</f>
        <v>134845</v>
      </c>
      <c r="F727" s="233"/>
      <c r="G727" s="233">
        <f>SUM(E727:F727)</f>
        <v>134845</v>
      </c>
      <c r="H727" s="233"/>
      <c r="I727" s="233">
        <f>SUM(G727:H727)</f>
        <v>134845</v>
      </c>
      <c r="J727" s="233"/>
      <c r="K727" s="233">
        <f>SUM(I727:J727)</f>
        <v>134845</v>
      </c>
    </row>
    <row r="728" spans="1:11" ht="12.95" customHeight="1" x14ac:dyDescent="0.2">
      <c r="A728" s="172"/>
      <c r="B728" s="172"/>
      <c r="C728" s="144">
        <v>4120</v>
      </c>
      <c r="D728" s="185" t="s">
        <v>180</v>
      </c>
      <c r="E728" s="233">
        <f>11067+8237</f>
        <v>19304</v>
      </c>
      <c r="F728" s="233"/>
      <c r="G728" s="233">
        <f>SUM(E728:F728)</f>
        <v>19304</v>
      </c>
      <c r="H728" s="233">
        <f>-2000</f>
        <v>-2000</v>
      </c>
      <c r="I728" s="233">
        <f>SUM(G728:H728)</f>
        <v>17304</v>
      </c>
      <c r="J728" s="233"/>
      <c r="K728" s="233">
        <f>SUM(I728:J728)</f>
        <v>17304</v>
      </c>
    </row>
    <row r="729" spans="1:11" ht="12.95" customHeight="1" x14ac:dyDescent="0.2">
      <c r="A729" s="172"/>
      <c r="B729" s="172"/>
      <c r="C729" s="144">
        <v>4170</v>
      </c>
      <c r="D729" s="185" t="s">
        <v>153</v>
      </c>
      <c r="E729" s="233">
        <f>3200</f>
        <v>3200</v>
      </c>
      <c r="F729" s="233"/>
      <c r="G729" s="233">
        <f>SUM(E729:F729)</f>
        <v>3200</v>
      </c>
      <c r="H729" s="233"/>
      <c r="I729" s="233">
        <f>SUM(G729:H729)</f>
        <v>3200</v>
      </c>
      <c r="J729" s="233"/>
      <c r="K729" s="233">
        <f>SUM(I729:J729)</f>
        <v>3200</v>
      </c>
    </row>
    <row r="730" spans="1:11" s="127" customFormat="1" ht="12.95" customHeight="1" x14ac:dyDescent="0.2">
      <c r="A730" s="171"/>
      <c r="B730" s="152"/>
      <c r="C730" s="299" t="s">
        <v>150</v>
      </c>
      <c r="D730" s="300"/>
      <c r="E730" s="232">
        <f t="shared" ref="E730:K730" si="248">SUM(E731)</f>
        <v>24292</v>
      </c>
      <c r="F730" s="232">
        <f t="shared" si="248"/>
        <v>0</v>
      </c>
      <c r="G730" s="232">
        <f t="shared" si="248"/>
        <v>24292</v>
      </c>
      <c r="H730" s="232">
        <f t="shared" si="248"/>
        <v>0</v>
      </c>
      <c r="I730" s="232">
        <f t="shared" si="248"/>
        <v>24292</v>
      </c>
      <c r="J730" s="232">
        <f t="shared" si="248"/>
        <v>0</v>
      </c>
      <c r="K730" s="232">
        <f t="shared" si="248"/>
        <v>24292</v>
      </c>
    </row>
    <row r="731" spans="1:11" ht="12.95" customHeight="1" x14ac:dyDescent="0.2">
      <c r="A731" s="172"/>
      <c r="B731" s="172"/>
      <c r="C731" s="144">
        <v>3020</v>
      </c>
      <c r="D731" s="192" t="s">
        <v>181</v>
      </c>
      <c r="E731" s="233">
        <f>22177+2115</f>
        <v>24292</v>
      </c>
      <c r="F731" s="233"/>
      <c r="G731" s="233">
        <f>SUM(E731:F731)</f>
        <v>24292</v>
      </c>
      <c r="H731" s="233"/>
      <c r="I731" s="233">
        <f>SUM(G731:H731)</f>
        <v>24292</v>
      </c>
      <c r="J731" s="233"/>
      <c r="K731" s="233">
        <f>SUM(I731:J731)</f>
        <v>24292</v>
      </c>
    </row>
    <row r="732" spans="1:11" s="127" customFormat="1" ht="21.75" customHeight="1" x14ac:dyDescent="0.2">
      <c r="A732" s="171"/>
      <c r="B732" s="207"/>
      <c r="C732" s="295" t="s">
        <v>294</v>
      </c>
      <c r="D732" s="296"/>
      <c r="E732" s="232">
        <f t="shared" ref="E732:K732" si="249">SUM(E733:E743)</f>
        <v>859522</v>
      </c>
      <c r="F732" s="232">
        <f t="shared" si="249"/>
        <v>0</v>
      </c>
      <c r="G732" s="232">
        <f t="shared" si="249"/>
        <v>859522</v>
      </c>
      <c r="H732" s="232">
        <f t="shared" si="249"/>
        <v>-39810</v>
      </c>
      <c r="I732" s="232">
        <f t="shared" si="249"/>
        <v>819712</v>
      </c>
      <c r="J732" s="232">
        <f t="shared" si="249"/>
        <v>0</v>
      </c>
      <c r="K732" s="232">
        <f t="shared" si="249"/>
        <v>819712</v>
      </c>
    </row>
    <row r="733" spans="1:11" ht="12.95" customHeight="1" x14ac:dyDescent="0.2">
      <c r="A733" s="172"/>
      <c r="B733" s="172"/>
      <c r="C733" s="144">
        <v>4210</v>
      </c>
      <c r="D733" s="192" t="s">
        <v>154</v>
      </c>
      <c r="E733" s="233">
        <f>90783+20300</f>
        <v>111083</v>
      </c>
      <c r="F733" s="233"/>
      <c r="G733" s="233">
        <f>SUM(E733:F733)</f>
        <v>111083</v>
      </c>
      <c r="H733" s="233"/>
      <c r="I733" s="233">
        <f>SUM(G733:H733)</f>
        <v>111083</v>
      </c>
      <c r="J733" s="233"/>
      <c r="K733" s="233">
        <f>SUM(I733:J733)</f>
        <v>111083</v>
      </c>
    </row>
    <row r="734" spans="1:11" ht="12.95" customHeight="1" x14ac:dyDescent="0.2">
      <c r="A734" s="172"/>
      <c r="B734" s="172"/>
      <c r="C734" s="144">
        <v>4220</v>
      </c>
      <c r="D734" s="192" t="s">
        <v>200</v>
      </c>
      <c r="E734" s="233">
        <f>188034+110367</f>
        <v>298401</v>
      </c>
      <c r="F734" s="233"/>
      <c r="G734" s="233">
        <f t="shared" ref="G734:G743" si="250">SUM(E734:F734)</f>
        <v>298401</v>
      </c>
      <c r="H734" s="233">
        <f>-18467</f>
        <v>-18467</v>
      </c>
      <c r="I734" s="233">
        <f t="shared" ref="I734:I743" si="251">SUM(G734:H734)</f>
        <v>279934</v>
      </c>
      <c r="J734" s="233"/>
      <c r="K734" s="233">
        <f t="shared" ref="K734:K743" si="252">SUM(I734:J734)</f>
        <v>279934</v>
      </c>
    </row>
    <row r="735" spans="1:11" ht="12.95" customHeight="1" x14ac:dyDescent="0.2">
      <c r="A735" s="172"/>
      <c r="B735" s="172"/>
      <c r="C735" s="144">
        <v>4260</v>
      </c>
      <c r="D735" s="185" t="s">
        <v>155</v>
      </c>
      <c r="E735" s="233">
        <f>54603+244452</f>
        <v>299055</v>
      </c>
      <c r="F735" s="233"/>
      <c r="G735" s="233">
        <f t="shared" si="250"/>
        <v>299055</v>
      </c>
      <c r="H735" s="233">
        <f>-21343</f>
        <v>-21343</v>
      </c>
      <c r="I735" s="233">
        <f t="shared" si="251"/>
        <v>277712</v>
      </c>
      <c r="J735" s="233"/>
      <c r="K735" s="233">
        <f t="shared" si="252"/>
        <v>277712</v>
      </c>
    </row>
    <row r="736" spans="1:11" ht="12.95" customHeight="1" x14ac:dyDescent="0.2">
      <c r="A736" s="172"/>
      <c r="B736" s="172"/>
      <c r="C736" s="144">
        <v>4270</v>
      </c>
      <c r="D736" s="185" t="s">
        <v>156</v>
      </c>
      <c r="E736" s="233">
        <f>30000</f>
        <v>30000</v>
      </c>
      <c r="F736" s="233"/>
      <c r="G736" s="233">
        <f t="shared" si="250"/>
        <v>30000</v>
      </c>
      <c r="H736" s="233"/>
      <c r="I736" s="233">
        <f t="shared" si="251"/>
        <v>30000</v>
      </c>
      <c r="J736" s="233"/>
      <c r="K736" s="233">
        <f t="shared" si="252"/>
        <v>30000</v>
      </c>
    </row>
    <row r="737" spans="1:11" ht="12.95" customHeight="1" x14ac:dyDescent="0.2">
      <c r="A737" s="172"/>
      <c r="B737" s="172"/>
      <c r="C737" s="144">
        <v>4280</v>
      </c>
      <c r="D737" s="185" t="s">
        <v>182</v>
      </c>
      <c r="E737" s="233">
        <f>400</f>
        <v>400</v>
      </c>
      <c r="F737" s="233"/>
      <c r="G737" s="233">
        <f t="shared" si="250"/>
        <v>400</v>
      </c>
      <c r="H737" s="233"/>
      <c r="I737" s="233">
        <f t="shared" si="251"/>
        <v>400</v>
      </c>
      <c r="J737" s="233"/>
      <c r="K737" s="233">
        <f t="shared" si="252"/>
        <v>400</v>
      </c>
    </row>
    <row r="738" spans="1:11" ht="12.95" customHeight="1" x14ac:dyDescent="0.2">
      <c r="A738" s="172"/>
      <c r="B738" s="172"/>
      <c r="C738" s="144">
        <v>4300</v>
      </c>
      <c r="D738" s="185" t="s">
        <v>145</v>
      </c>
      <c r="E738" s="233">
        <f>40306+21150</f>
        <v>61456</v>
      </c>
      <c r="F738" s="233"/>
      <c r="G738" s="233">
        <f t="shared" si="250"/>
        <v>61456</v>
      </c>
      <c r="H738" s="233"/>
      <c r="I738" s="233">
        <f t="shared" si="251"/>
        <v>61456</v>
      </c>
      <c r="J738" s="233"/>
      <c r="K738" s="233">
        <f t="shared" si="252"/>
        <v>61456</v>
      </c>
    </row>
    <row r="739" spans="1:11" ht="12.95" customHeight="1" x14ac:dyDescent="0.2">
      <c r="A739" s="172"/>
      <c r="B739" s="172"/>
      <c r="C739" s="144">
        <v>4360</v>
      </c>
      <c r="D739" s="185" t="s">
        <v>307</v>
      </c>
      <c r="E739" s="233">
        <v>5000</v>
      </c>
      <c r="F739" s="233"/>
      <c r="G739" s="233">
        <f t="shared" si="250"/>
        <v>5000</v>
      </c>
      <c r="H739" s="233"/>
      <c r="I739" s="233">
        <f t="shared" si="251"/>
        <v>5000</v>
      </c>
      <c r="J739" s="233"/>
      <c r="K739" s="233">
        <f t="shared" si="252"/>
        <v>5000</v>
      </c>
    </row>
    <row r="740" spans="1:11" ht="12.95" customHeight="1" x14ac:dyDescent="0.2">
      <c r="A740" s="172"/>
      <c r="B740" s="172"/>
      <c r="C740" s="145">
        <v>4410</v>
      </c>
      <c r="D740" s="191" t="s">
        <v>171</v>
      </c>
      <c r="E740" s="233">
        <v>200</v>
      </c>
      <c r="F740" s="233"/>
      <c r="G740" s="233">
        <f t="shared" si="250"/>
        <v>200</v>
      </c>
      <c r="H740" s="233"/>
      <c r="I740" s="233">
        <f t="shared" si="251"/>
        <v>200</v>
      </c>
      <c r="J740" s="233"/>
      <c r="K740" s="233">
        <f t="shared" si="252"/>
        <v>200</v>
      </c>
    </row>
    <row r="741" spans="1:11" ht="12.95" customHeight="1" x14ac:dyDescent="0.2">
      <c r="A741" s="172"/>
      <c r="B741" s="172"/>
      <c r="C741" s="145">
        <v>4430</v>
      </c>
      <c r="D741" s="191" t="s">
        <v>157</v>
      </c>
      <c r="E741" s="233">
        <v>3100</v>
      </c>
      <c r="F741" s="233"/>
      <c r="G741" s="233">
        <f t="shared" si="250"/>
        <v>3100</v>
      </c>
      <c r="H741" s="233"/>
      <c r="I741" s="233">
        <f t="shared" si="251"/>
        <v>3100</v>
      </c>
      <c r="J741" s="233"/>
      <c r="K741" s="233">
        <f t="shared" si="252"/>
        <v>3100</v>
      </c>
    </row>
    <row r="742" spans="1:11" ht="12.95" customHeight="1" x14ac:dyDescent="0.2">
      <c r="A742" s="172"/>
      <c r="B742" s="172"/>
      <c r="C742" s="145">
        <v>4440</v>
      </c>
      <c r="D742" s="191" t="s">
        <v>186</v>
      </c>
      <c r="E742" s="233">
        <f>23269+26558</f>
        <v>49827</v>
      </c>
      <c r="F742" s="233"/>
      <c r="G742" s="233">
        <f t="shared" si="250"/>
        <v>49827</v>
      </c>
      <c r="H742" s="233"/>
      <c r="I742" s="233">
        <f t="shared" si="251"/>
        <v>49827</v>
      </c>
      <c r="J742" s="233"/>
      <c r="K742" s="233">
        <f t="shared" si="252"/>
        <v>49827</v>
      </c>
    </row>
    <row r="743" spans="1:11" ht="12.95" customHeight="1" x14ac:dyDescent="0.2">
      <c r="A743" s="172"/>
      <c r="B743" s="172"/>
      <c r="C743" s="145">
        <v>4700</v>
      </c>
      <c r="D743" s="185" t="s">
        <v>173</v>
      </c>
      <c r="E743" s="233">
        <f>500+500</f>
        <v>1000</v>
      </c>
      <c r="F743" s="233"/>
      <c r="G743" s="233">
        <f t="shared" si="250"/>
        <v>1000</v>
      </c>
      <c r="H743" s="233"/>
      <c r="I743" s="233">
        <f t="shared" si="251"/>
        <v>1000</v>
      </c>
      <c r="J743" s="233"/>
      <c r="K743" s="233">
        <f t="shared" si="252"/>
        <v>1000</v>
      </c>
    </row>
    <row r="744" spans="1:11" ht="12.95" customHeight="1" x14ac:dyDescent="0.2">
      <c r="A744" s="167"/>
      <c r="B744" s="167">
        <v>85417</v>
      </c>
      <c r="C744" s="146"/>
      <c r="D744" s="188" t="s">
        <v>249</v>
      </c>
      <c r="E744" s="234">
        <f t="shared" ref="E744:K744" si="253">SUM(E745,E751,E753)</f>
        <v>298452</v>
      </c>
      <c r="F744" s="234">
        <f t="shared" si="253"/>
        <v>0</v>
      </c>
      <c r="G744" s="234">
        <f t="shared" si="253"/>
        <v>298452</v>
      </c>
      <c r="H744" s="234">
        <f t="shared" si="253"/>
        <v>-7198</v>
      </c>
      <c r="I744" s="234">
        <f t="shared" si="253"/>
        <v>291254</v>
      </c>
      <c r="J744" s="234">
        <f t="shared" si="253"/>
        <v>-45000</v>
      </c>
      <c r="K744" s="234">
        <f t="shared" si="253"/>
        <v>246254</v>
      </c>
    </row>
    <row r="745" spans="1:11" s="127" customFormat="1" ht="12.95" customHeight="1" x14ac:dyDescent="0.2">
      <c r="A745" s="171"/>
      <c r="B745" s="152"/>
      <c r="C745" s="299" t="s">
        <v>152</v>
      </c>
      <c r="D745" s="300"/>
      <c r="E745" s="232">
        <f t="shared" ref="E745:K745" si="254">SUM(E746:E750)</f>
        <v>125435</v>
      </c>
      <c r="F745" s="232">
        <f t="shared" si="254"/>
        <v>0</v>
      </c>
      <c r="G745" s="232">
        <f t="shared" si="254"/>
        <v>125435</v>
      </c>
      <c r="H745" s="232">
        <f t="shared" si="254"/>
        <v>-1670</v>
      </c>
      <c r="I745" s="232">
        <f t="shared" si="254"/>
        <v>123765</v>
      </c>
      <c r="J745" s="232">
        <f t="shared" si="254"/>
        <v>0</v>
      </c>
      <c r="K745" s="232">
        <f t="shared" si="254"/>
        <v>123765</v>
      </c>
    </row>
    <row r="746" spans="1:11" ht="12.95" customHeight="1" x14ac:dyDescent="0.2">
      <c r="A746" s="172"/>
      <c r="B746" s="172"/>
      <c r="C746" s="144">
        <v>4010</v>
      </c>
      <c r="D746" s="185" t="s">
        <v>176</v>
      </c>
      <c r="E746" s="233">
        <f>85953+12000</f>
        <v>97953</v>
      </c>
      <c r="F746" s="233"/>
      <c r="G746" s="233">
        <f>SUM(E746:F746)</f>
        <v>97953</v>
      </c>
      <c r="H746" s="233"/>
      <c r="I746" s="233">
        <f>SUM(G746:H746)</f>
        <v>97953</v>
      </c>
      <c r="J746" s="233"/>
      <c r="K746" s="233">
        <f>SUM(I746:J746)</f>
        <v>97953</v>
      </c>
    </row>
    <row r="747" spans="1:11" ht="12.95" customHeight="1" x14ac:dyDescent="0.2">
      <c r="A747" s="172"/>
      <c r="B747" s="172"/>
      <c r="C747" s="144">
        <v>4040</v>
      </c>
      <c r="D747" s="185" t="s">
        <v>178</v>
      </c>
      <c r="E747" s="233">
        <f>6178+1005</f>
        <v>7183</v>
      </c>
      <c r="F747" s="233"/>
      <c r="G747" s="233">
        <f>SUM(E747:F747)</f>
        <v>7183</v>
      </c>
      <c r="H747" s="233">
        <f>-1670</f>
        <v>-1670</v>
      </c>
      <c r="I747" s="233">
        <f>SUM(G747:H747)</f>
        <v>5513</v>
      </c>
      <c r="J747" s="233"/>
      <c r="K747" s="233">
        <f>SUM(I747:J747)</f>
        <v>5513</v>
      </c>
    </row>
    <row r="748" spans="1:11" ht="12.95" customHeight="1" x14ac:dyDescent="0.2">
      <c r="A748" s="172"/>
      <c r="B748" s="172"/>
      <c r="C748" s="144">
        <v>4110</v>
      </c>
      <c r="D748" s="185" t="s">
        <v>179</v>
      </c>
      <c r="E748" s="233">
        <f>15755+2208</f>
        <v>17963</v>
      </c>
      <c r="F748" s="233"/>
      <c r="G748" s="233">
        <f>SUM(E748:F748)</f>
        <v>17963</v>
      </c>
      <c r="H748" s="233"/>
      <c r="I748" s="233">
        <f>SUM(G748:H748)</f>
        <v>17963</v>
      </c>
      <c r="J748" s="233"/>
      <c r="K748" s="233">
        <f>SUM(I748:J748)</f>
        <v>17963</v>
      </c>
    </row>
    <row r="749" spans="1:11" ht="12.95" customHeight="1" x14ac:dyDescent="0.2">
      <c r="A749" s="172"/>
      <c r="B749" s="172"/>
      <c r="C749" s="144">
        <v>4120</v>
      </c>
      <c r="D749" s="185" t="s">
        <v>180</v>
      </c>
      <c r="E749" s="233">
        <f>1042+294</f>
        <v>1336</v>
      </c>
      <c r="F749" s="233"/>
      <c r="G749" s="233">
        <f>SUM(E749:F749)</f>
        <v>1336</v>
      </c>
      <c r="H749" s="233"/>
      <c r="I749" s="233">
        <f>SUM(G749:H749)</f>
        <v>1336</v>
      </c>
      <c r="J749" s="233"/>
      <c r="K749" s="233">
        <f>SUM(I749:J749)</f>
        <v>1336</v>
      </c>
    </row>
    <row r="750" spans="1:11" ht="12.95" customHeight="1" x14ac:dyDescent="0.2">
      <c r="A750" s="172"/>
      <c r="B750" s="172"/>
      <c r="C750" s="144">
        <v>4170</v>
      </c>
      <c r="D750" s="185" t="s">
        <v>153</v>
      </c>
      <c r="E750" s="233">
        <f>1000</f>
        <v>1000</v>
      </c>
      <c r="F750" s="233"/>
      <c r="G750" s="233">
        <f>SUM(E750:F750)</f>
        <v>1000</v>
      </c>
      <c r="H750" s="233"/>
      <c r="I750" s="233">
        <f>SUM(G750:H750)</f>
        <v>1000</v>
      </c>
      <c r="J750" s="233"/>
      <c r="K750" s="233">
        <f>SUM(I750:J750)</f>
        <v>1000</v>
      </c>
    </row>
    <row r="751" spans="1:11" s="127" customFormat="1" ht="12.95" customHeight="1" x14ac:dyDescent="0.2">
      <c r="A751" s="171"/>
      <c r="B751" s="152"/>
      <c r="C751" s="299" t="s">
        <v>150</v>
      </c>
      <c r="D751" s="300"/>
      <c r="E751" s="232">
        <f t="shared" ref="E751:K751" si="255">SUM(E752)</f>
        <v>370</v>
      </c>
      <c r="F751" s="232">
        <f t="shared" si="255"/>
        <v>0</v>
      </c>
      <c r="G751" s="232">
        <f t="shared" si="255"/>
        <v>370</v>
      </c>
      <c r="H751" s="232">
        <f t="shared" si="255"/>
        <v>0</v>
      </c>
      <c r="I751" s="232">
        <f t="shared" si="255"/>
        <v>370</v>
      </c>
      <c r="J751" s="232">
        <f t="shared" si="255"/>
        <v>0</v>
      </c>
      <c r="K751" s="232">
        <f t="shared" si="255"/>
        <v>370</v>
      </c>
    </row>
    <row r="752" spans="1:11" ht="12.95" customHeight="1" x14ac:dyDescent="0.2">
      <c r="A752" s="172"/>
      <c r="B752" s="172"/>
      <c r="C752" s="144">
        <v>3020</v>
      </c>
      <c r="D752" s="192" t="s">
        <v>181</v>
      </c>
      <c r="E752" s="233">
        <f>205+165</f>
        <v>370</v>
      </c>
      <c r="F752" s="233"/>
      <c r="G752" s="233">
        <f>SUM(E752:F752)</f>
        <v>370</v>
      </c>
      <c r="H752" s="233"/>
      <c r="I752" s="233">
        <f>SUM(G752:H752)</f>
        <v>370</v>
      </c>
      <c r="J752" s="233"/>
      <c r="K752" s="233">
        <f>SUM(I752:J752)</f>
        <v>370</v>
      </c>
    </row>
    <row r="753" spans="1:11" s="127" customFormat="1" ht="22.5" customHeight="1" x14ac:dyDescent="0.2">
      <c r="A753" s="171"/>
      <c r="B753" s="207"/>
      <c r="C753" s="292" t="s">
        <v>294</v>
      </c>
      <c r="D753" s="293"/>
      <c r="E753" s="232">
        <f t="shared" ref="E753:K753" si="256">SUM(E754:E761)</f>
        <v>172647</v>
      </c>
      <c r="F753" s="232">
        <f t="shared" si="256"/>
        <v>0</v>
      </c>
      <c r="G753" s="232">
        <f t="shared" si="256"/>
        <v>172647</v>
      </c>
      <c r="H753" s="232">
        <f t="shared" si="256"/>
        <v>-5528</v>
      </c>
      <c r="I753" s="232">
        <f t="shared" si="256"/>
        <v>167119</v>
      </c>
      <c r="J753" s="232">
        <f t="shared" si="256"/>
        <v>-45000</v>
      </c>
      <c r="K753" s="232">
        <f t="shared" si="256"/>
        <v>122119</v>
      </c>
    </row>
    <row r="754" spans="1:11" ht="12.95" customHeight="1" x14ac:dyDescent="0.2">
      <c r="A754" s="172"/>
      <c r="B754" s="172"/>
      <c r="C754" s="144">
        <v>4210</v>
      </c>
      <c r="D754" s="192" t="s">
        <v>154</v>
      </c>
      <c r="E754" s="233">
        <f>30800+3600</f>
        <v>34400</v>
      </c>
      <c r="F754" s="233"/>
      <c r="G754" s="233">
        <f>SUM(E754:F754)</f>
        <v>34400</v>
      </c>
      <c r="H754" s="233">
        <f>-12-3049-479</f>
        <v>-3540</v>
      </c>
      <c r="I754" s="233">
        <f>SUM(G754:H754)</f>
        <v>30860</v>
      </c>
      <c r="J754" s="233"/>
      <c r="K754" s="233">
        <f>SUM(I754:J754)</f>
        <v>30860</v>
      </c>
    </row>
    <row r="755" spans="1:11" ht="12.95" customHeight="1" x14ac:dyDescent="0.2">
      <c r="A755" s="172"/>
      <c r="B755" s="172"/>
      <c r="C755" s="144">
        <v>4260</v>
      </c>
      <c r="D755" s="185" t="s">
        <v>155</v>
      </c>
      <c r="E755" s="233">
        <f>121050</f>
        <v>121050</v>
      </c>
      <c r="F755" s="233"/>
      <c r="G755" s="233">
        <f t="shared" ref="G755:G761" si="257">SUM(E755:F755)</f>
        <v>121050</v>
      </c>
      <c r="H755" s="233">
        <f>-2000</f>
        <v>-2000</v>
      </c>
      <c r="I755" s="233">
        <f t="shared" ref="I755:I761" si="258">SUM(G755:H755)</f>
        <v>119050</v>
      </c>
      <c r="J755" s="233">
        <v>-45000</v>
      </c>
      <c r="K755" s="233">
        <f t="shared" ref="K755:K761" si="259">SUM(I755:J755)</f>
        <v>74050</v>
      </c>
    </row>
    <row r="756" spans="1:11" ht="12.95" customHeight="1" x14ac:dyDescent="0.2">
      <c r="A756" s="172"/>
      <c r="B756" s="172"/>
      <c r="C756" s="144">
        <v>4270</v>
      </c>
      <c r="D756" s="185" t="s">
        <v>156</v>
      </c>
      <c r="E756" s="233">
        <f>1500</f>
        <v>1500</v>
      </c>
      <c r="F756" s="233"/>
      <c r="G756" s="233">
        <f t="shared" si="257"/>
        <v>1500</v>
      </c>
      <c r="H756" s="233"/>
      <c r="I756" s="233">
        <f t="shared" si="258"/>
        <v>1500</v>
      </c>
      <c r="J756" s="233"/>
      <c r="K756" s="233">
        <f t="shared" si="259"/>
        <v>1500</v>
      </c>
    </row>
    <row r="757" spans="1:11" ht="12.95" customHeight="1" x14ac:dyDescent="0.2">
      <c r="A757" s="172"/>
      <c r="B757" s="172"/>
      <c r="C757" s="144">
        <v>4280</v>
      </c>
      <c r="D757" s="185" t="s">
        <v>182</v>
      </c>
      <c r="E757" s="233">
        <f>200+60</f>
        <v>260</v>
      </c>
      <c r="F757" s="233"/>
      <c r="G757" s="233">
        <f t="shared" si="257"/>
        <v>260</v>
      </c>
      <c r="H757" s="233"/>
      <c r="I757" s="233">
        <f t="shared" si="258"/>
        <v>260</v>
      </c>
      <c r="J757" s="233"/>
      <c r="K757" s="233">
        <f t="shared" si="259"/>
        <v>260</v>
      </c>
    </row>
    <row r="758" spans="1:11" ht="12.95" customHeight="1" x14ac:dyDescent="0.2">
      <c r="A758" s="172"/>
      <c r="B758" s="172"/>
      <c r="C758" s="144">
        <v>4300</v>
      </c>
      <c r="D758" s="185" t="s">
        <v>145</v>
      </c>
      <c r="E758" s="233">
        <f>8300</f>
        <v>8300</v>
      </c>
      <c r="F758" s="233"/>
      <c r="G758" s="233">
        <f t="shared" si="257"/>
        <v>8300</v>
      </c>
      <c r="H758" s="233"/>
      <c r="I758" s="233">
        <f t="shared" si="258"/>
        <v>8300</v>
      </c>
      <c r="J758" s="233"/>
      <c r="K758" s="233">
        <f t="shared" si="259"/>
        <v>8300</v>
      </c>
    </row>
    <row r="759" spans="1:11" ht="12.95" customHeight="1" x14ac:dyDescent="0.2">
      <c r="A759" s="172"/>
      <c r="B759" s="172"/>
      <c r="C759" s="144">
        <v>4360</v>
      </c>
      <c r="D759" s="185" t="s">
        <v>307</v>
      </c>
      <c r="E759" s="233">
        <v>1580</v>
      </c>
      <c r="F759" s="233"/>
      <c r="G759" s="233">
        <f t="shared" si="257"/>
        <v>1580</v>
      </c>
      <c r="H759" s="233"/>
      <c r="I759" s="233">
        <f t="shared" si="258"/>
        <v>1580</v>
      </c>
      <c r="J759" s="233"/>
      <c r="K759" s="233">
        <f t="shared" si="259"/>
        <v>1580</v>
      </c>
    </row>
    <row r="760" spans="1:11" ht="12.95" customHeight="1" x14ac:dyDescent="0.2">
      <c r="A760" s="172"/>
      <c r="B760" s="172"/>
      <c r="C760" s="145">
        <v>4440</v>
      </c>
      <c r="D760" s="191" t="s">
        <v>186</v>
      </c>
      <c r="E760" s="233">
        <f>4197+560</f>
        <v>4757</v>
      </c>
      <c r="F760" s="233"/>
      <c r="G760" s="233">
        <f t="shared" si="257"/>
        <v>4757</v>
      </c>
      <c r="H760" s="233"/>
      <c r="I760" s="233">
        <f t="shared" si="258"/>
        <v>4757</v>
      </c>
      <c r="J760" s="233"/>
      <c r="K760" s="233">
        <f t="shared" si="259"/>
        <v>4757</v>
      </c>
    </row>
    <row r="761" spans="1:11" ht="12.95" customHeight="1" x14ac:dyDescent="0.2">
      <c r="A761" s="172"/>
      <c r="B761" s="172"/>
      <c r="C761" s="145">
        <v>4520</v>
      </c>
      <c r="D761" s="191" t="s">
        <v>218</v>
      </c>
      <c r="E761" s="233">
        <v>800</v>
      </c>
      <c r="F761" s="233"/>
      <c r="G761" s="233">
        <f t="shared" si="257"/>
        <v>800</v>
      </c>
      <c r="H761" s="233">
        <f>12</f>
        <v>12</v>
      </c>
      <c r="I761" s="233">
        <f t="shared" si="258"/>
        <v>812</v>
      </c>
      <c r="J761" s="233"/>
      <c r="K761" s="233">
        <f t="shared" si="259"/>
        <v>812</v>
      </c>
    </row>
    <row r="762" spans="1:11" ht="12.95" customHeight="1" x14ac:dyDescent="0.2">
      <c r="A762" s="167"/>
      <c r="B762" s="167">
        <v>85446</v>
      </c>
      <c r="C762" s="146"/>
      <c r="D762" s="188" t="s">
        <v>222</v>
      </c>
      <c r="E762" s="234">
        <f t="shared" ref="E762:K762" si="260">SUM(E763)</f>
        <v>12723</v>
      </c>
      <c r="F762" s="234">
        <f t="shared" si="260"/>
        <v>0</v>
      </c>
      <c r="G762" s="234">
        <f t="shared" si="260"/>
        <v>12723</v>
      </c>
      <c r="H762" s="234">
        <f t="shared" si="260"/>
        <v>0</v>
      </c>
      <c r="I762" s="234">
        <f t="shared" si="260"/>
        <v>12723</v>
      </c>
      <c r="J762" s="234">
        <f t="shared" si="260"/>
        <v>0</v>
      </c>
      <c r="K762" s="234">
        <f t="shared" si="260"/>
        <v>12723</v>
      </c>
    </row>
    <row r="763" spans="1:11" s="127" customFormat="1" ht="25.5" customHeight="1" x14ac:dyDescent="0.2">
      <c r="A763" s="168"/>
      <c r="B763" s="207"/>
      <c r="C763" s="292" t="s">
        <v>294</v>
      </c>
      <c r="D763" s="293"/>
      <c r="E763" s="232">
        <f>SUM(E766:E766)</f>
        <v>12723</v>
      </c>
      <c r="F763" s="232">
        <f>SUM(F766:F766)</f>
        <v>0</v>
      </c>
      <c r="G763" s="232">
        <f>SUM(G766:G766)</f>
        <v>12723</v>
      </c>
      <c r="H763" s="232">
        <f>SUM(H766:H766)</f>
        <v>0</v>
      </c>
      <c r="I763" s="232">
        <f>SUM(I764:I766)</f>
        <v>12723</v>
      </c>
      <c r="J763" s="232">
        <f>SUM(J764:J766)</f>
        <v>0</v>
      </c>
      <c r="K763" s="232">
        <f>SUM(K764:K766)</f>
        <v>12723</v>
      </c>
    </row>
    <row r="764" spans="1:11" s="127" customFormat="1" ht="12" customHeight="1" x14ac:dyDescent="0.2">
      <c r="A764" s="168"/>
      <c r="B764" s="207"/>
      <c r="C764" s="276">
        <v>4210</v>
      </c>
      <c r="D764" s="277" t="s">
        <v>154</v>
      </c>
      <c r="E764" s="232"/>
      <c r="F764" s="232"/>
      <c r="G764" s="232"/>
      <c r="H764" s="232"/>
      <c r="I764" s="232"/>
      <c r="J764" s="241">
        <f>200+500</f>
        <v>700</v>
      </c>
      <c r="K764" s="241">
        <f>SUM(I764:J764)</f>
        <v>700</v>
      </c>
    </row>
    <row r="765" spans="1:11" s="127" customFormat="1" ht="12" customHeight="1" x14ac:dyDescent="0.2">
      <c r="A765" s="168"/>
      <c r="B765" s="207"/>
      <c r="C765" s="276">
        <v>4410</v>
      </c>
      <c r="D765" s="277" t="s">
        <v>171</v>
      </c>
      <c r="E765" s="232"/>
      <c r="F765" s="232"/>
      <c r="G765" s="232"/>
      <c r="H765" s="232"/>
      <c r="I765" s="232"/>
      <c r="J765" s="241">
        <f>1600+735</f>
        <v>2335</v>
      </c>
      <c r="K765" s="241">
        <f>SUM(I765:J765)</f>
        <v>2335</v>
      </c>
    </row>
    <row r="766" spans="1:11" ht="12.95" customHeight="1" x14ac:dyDescent="0.2">
      <c r="A766" s="157"/>
      <c r="B766" s="157"/>
      <c r="C766" s="145">
        <v>4700</v>
      </c>
      <c r="D766" s="191" t="s">
        <v>173</v>
      </c>
      <c r="E766" s="233">
        <v>12723</v>
      </c>
      <c r="F766" s="233"/>
      <c r="G766" s="233">
        <f>SUM(E766:F766)</f>
        <v>12723</v>
      </c>
      <c r="H766" s="233"/>
      <c r="I766" s="233">
        <f>SUM(G766:H766)</f>
        <v>12723</v>
      </c>
      <c r="J766" s="233">
        <f>-7251+2166+2050</f>
        <v>-3035</v>
      </c>
      <c r="K766" s="233">
        <f>SUM(I766:J766)</f>
        <v>9688</v>
      </c>
    </row>
    <row r="767" spans="1:11" ht="12.95" customHeight="1" x14ac:dyDescent="0.2">
      <c r="A767" s="167"/>
      <c r="B767" s="167">
        <v>85495</v>
      </c>
      <c r="C767" s="146"/>
      <c r="D767" s="188" t="s">
        <v>65</v>
      </c>
      <c r="E767" s="234">
        <f t="shared" ref="E767:K767" si="261">SUM(E768)</f>
        <v>157490</v>
      </c>
      <c r="F767" s="234">
        <f t="shared" si="261"/>
        <v>-56668</v>
      </c>
      <c r="G767" s="234">
        <f t="shared" si="261"/>
        <v>100822</v>
      </c>
      <c r="H767" s="234">
        <f t="shared" si="261"/>
        <v>0</v>
      </c>
      <c r="I767" s="234">
        <f t="shared" si="261"/>
        <v>100822</v>
      </c>
      <c r="J767" s="234">
        <f t="shared" si="261"/>
        <v>-10264</v>
      </c>
      <c r="K767" s="234">
        <f t="shared" si="261"/>
        <v>90558</v>
      </c>
    </row>
    <row r="768" spans="1:11" s="127" customFormat="1" ht="23.25" customHeight="1" x14ac:dyDescent="0.2">
      <c r="A768" s="168"/>
      <c r="B768" s="207"/>
      <c r="C768" s="292" t="s">
        <v>294</v>
      </c>
      <c r="D768" s="293"/>
      <c r="E768" s="232">
        <f t="shared" ref="E768:K768" si="262">SUM(E769:E770)</f>
        <v>157490</v>
      </c>
      <c r="F768" s="232">
        <f t="shared" si="262"/>
        <v>-56668</v>
      </c>
      <c r="G768" s="232">
        <f t="shared" si="262"/>
        <v>100822</v>
      </c>
      <c r="H768" s="232">
        <f t="shared" si="262"/>
        <v>0</v>
      </c>
      <c r="I768" s="232">
        <f t="shared" si="262"/>
        <v>100822</v>
      </c>
      <c r="J768" s="232">
        <f t="shared" si="262"/>
        <v>-10264</v>
      </c>
      <c r="K768" s="232">
        <f t="shared" si="262"/>
        <v>90558</v>
      </c>
    </row>
    <row r="769" spans="1:11" x14ac:dyDescent="0.2">
      <c r="A769" s="157"/>
      <c r="B769" s="157"/>
      <c r="C769" s="144">
        <v>4270</v>
      </c>
      <c r="D769" s="185" t="s">
        <v>156</v>
      </c>
      <c r="E769" s="233">
        <v>57200</v>
      </c>
      <c r="F769" s="233"/>
      <c r="G769" s="233">
        <f>SUM(E769:F769)</f>
        <v>57200</v>
      </c>
      <c r="H769" s="233"/>
      <c r="I769" s="233">
        <f>SUM(G769:H769)</f>
        <v>57200</v>
      </c>
      <c r="J769" s="233"/>
      <c r="K769" s="233">
        <f>SUM(I769:J769)</f>
        <v>57200</v>
      </c>
    </row>
    <row r="770" spans="1:11" ht="12.95" customHeight="1" x14ac:dyDescent="0.2">
      <c r="A770" s="157"/>
      <c r="B770" s="157"/>
      <c r="C770" s="144">
        <v>4300</v>
      </c>
      <c r="D770" s="191" t="s">
        <v>145</v>
      </c>
      <c r="E770" s="233">
        <v>100290</v>
      </c>
      <c r="F770" s="233">
        <v>-56668</v>
      </c>
      <c r="G770" s="233">
        <f>SUM(E770:F770)</f>
        <v>43622</v>
      </c>
      <c r="H770" s="233"/>
      <c r="I770" s="233">
        <f>SUM(G770:H770)</f>
        <v>43622</v>
      </c>
      <c r="J770" s="233">
        <v>-10264</v>
      </c>
      <c r="K770" s="233">
        <f>SUM(I770:J770)</f>
        <v>33358</v>
      </c>
    </row>
    <row r="771" spans="1:11" ht="12.95" customHeight="1" x14ac:dyDescent="0.2">
      <c r="A771" s="170">
        <v>900</v>
      </c>
      <c r="B771" s="170"/>
      <c r="C771" s="143"/>
      <c r="D771" s="189" t="s">
        <v>136</v>
      </c>
      <c r="E771" s="236">
        <f t="shared" ref="E771:K771" si="263">SUM(E772)</f>
        <v>4056878</v>
      </c>
      <c r="F771" s="236">
        <f t="shared" si="263"/>
        <v>0</v>
      </c>
      <c r="G771" s="236">
        <f t="shared" si="263"/>
        <v>4056878</v>
      </c>
      <c r="H771" s="236">
        <f t="shared" si="263"/>
        <v>0</v>
      </c>
      <c r="I771" s="236">
        <f t="shared" si="263"/>
        <v>4056878</v>
      </c>
      <c r="J771" s="236">
        <f t="shared" si="263"/>
        <v>0</v>
      </c>
      <c r="K771" s="236">
        <f t="shared" si="263"/>
        <v>4056878</v>
      </c>
    </row>
    <row r="772" spans="1:11" ht="12.95" customHeight="1" x14ac:dyDescent="0.2">
      <c r="A772" s="167"/>
      <c r="B772" s="167">
        <v>90095</v>
      </c>
      <c r="C772" s="146"/>
      <c r="D772" s="188" t="s">
        <v>65</v>
      </c>
      <c r="E772" s="234">
        <f t="shared" ref="E772:K772" si="264">SUM(E773+E775+E786)</f>
        <v>4056878</v>
      </c>
      <c r="F772" s="234">
        <f t="shared" si="264"/>
        <v>0</v>
      </c>
      <c r="G772" s="234">
        <f t="shared" si="264"/>
        <v>4056878</v>
      </c>
      <c r="H772" s="234">
        <f t="shared" si="264"/>
        <v>0</v>
      </c>
      <c r="I772" s="234">
        <f t="shared" si="264"/>
        <v>4056878</v>
      </c>
      <c r="J772" s="234">
        <f t="shared" si="264"/>
        <v>0</v>
      </c>
      <c r="K772" s="234">
        <f t="shared" si="264"/>
        <v>4056878</v>
      </c>
    </row>
    <row r="773" spans="1:11" s="127" customFormat="1" ht="26.25" customHeight="1" x14ac:dyDescent="0.2">
      <c r="A773" s="168"/>
      <c r="B773" s="207"/>
      <c r="C773" s="292" t="s">
        <v>294</v>
      </c>
      <c r="D773" s="293"/>
      <c r="E773" s="228">
        <f t="shared" ref="E773:K773" si="265">SUM(E774:E774)</f>
        <v>1700</v>
      </c>
      <c r="F773" s="228">
        <f t="shared" si="265"/>
        <v>0</v>
      </c>
      <c r="G773" s="228">
        <f t="shared" si="265"/>
        <v>1700</v>
      </c>
      <c r="H773" s="228">
        <f t="shared" si="265"/>
        <v>0</v>
      </c>
      <c r="I773" s="228">
        <f t="shared" si="265"/>
        <v>1700</v>
      </c>
      <c r="J773" s="228">
        <f t="shared" si="265"/>
        <v>0</v>
      </c>
      <c r="K773" s="228">
        <f t="shared" si="265"/>
        <v>1700</v>
      </c>
    </row>
    <row r="774" spans="1:11" ht="12.95" customHeight="1" x14ac:dyDescent="0.2">
      <c r="A774" s="157"/>
      <c r="B774" s="157"/>
      <c r="C774" s="144">
        <v>4210</v>
      </c>
      <c r="D774" s="185" t="s">
        <v>154</v>
      </c>
      <c r="E774" s="229">
        <v>1700</v>
      </c>
      <c r="F774" s="229"/>
      <c r="G774" s="229">
        <f>SUM(E774:F774)</f>
        <v>1700</v>
      </c>
      <c r="H774" s="229"/>
      <c r="I774" s="229">
        <f>SUM(G774:H774)</f>
        <v>1700</v>
      </c>
      <c r="J774" s="229"/>
      <c r="K774" s="229">
        <f>SUM(I774:J774)</f>
        <v>1700</v>
      </c>
    </row>
    <row r="775" spans="1:11" ht="33.75" customHeight="1" x14ac:dyDescent="0.2">
      <c r="A775" s="157"/>
      <c r="B775" s="157"/>
      <c r="C775" s="309" t="s">
        <v>266</v>
      </c>
      <c r="D775" s="310"/>
      <c r="E775" s="235">
        <f t="shared" ref="E775:K775" si="266">SUM(E776:E785)</f>
        <v>32996</v>
      </c>
      <c r="F775" s="235">
        <f t="shared" si="266"/>
        <v>0</v>
      </c>
      <c r="G775" s="235">
        <f t="shared" si="266"/>
        <v>32996</v>
      </c>
      <c r="H775" s="235">
        <f t="shared" si="266"/>
        <v>0</v>
      </c>
      <c r="I775" s="235">
        <f t="shared" si="266"/>
        <v>32996</v>
      </c>
      <c r="J775" s="235">
        <f t="shared" si="266"/>
        <v>0</v>
      </c>
      <c r="K775" s="235">
        <f t="shared" si="266"/>
        <v>32996</v>
      </c>
    </row>
    <row r="776" spans="1:11" ht="12.75" customHeight="1" x14ac:dyDescent="0.2">
      <c r="A776" s="157"/>
      <c r="B776" s="157"/>
      <c r="C776" s="157">
        <v>4017</v>
      </c>
      <c r="D776" s="185" t="s">
        <v>176</v>
      </c>
      <c r="E776" s="229">
        <v>21078</v>
      </c>
      <c r="F776" s="229"/>
      <c r="G776" s="229">
        <f>SUM(E776:F776)</f>
        <v>21078</v>
      </c>
      <c r="H776" s="229"/>
      <c r="I776" s="229">
        <f>SUM(G776:H776)</f>
        <v>21078</v>
      </c>
      <c r="J776" s="229"/>
      <c r="K776" s="229">
        <f>SUM(I776:J776)</f>
        <v>21078</v>
      </c>
    </row>
    <row r="777" spans="1:11" ht="12.95" customHeight="1" x14ac:dyDescent="0.2">
      <c r="A777" s="157"/>
      <c r="B777" s="157"/>
      <c r="C777" s="157">
        <v>4019</v>
      </c>
      <c r="D777" s="185" t="s">
        <v>303</v>
      </c>
      <c r="E777" s="229">
        <v>5269</v>
      </c>
      <c r="F777" s="229"/>
      <c r="G777" s="229">
        <f t="shared" ref="G777:G785" si="267">SUM(E777:F777)</f>
        <v>5269</v>
      </c>
      <c r="H777" s="229"/>
      <c r="I777" s="229">
        <f t="shared" ref="I777:I785" si="268">SUM(G777:H777)</f>
        <v>5269</v>
      </c>
      <c r="J777" s="229"/>
      <c r="K777" s="229">
        <f t="shared" ref="K777:K785" si="269">SUM(I777:J777)</f>
        <v>5269</v>
      </c>
    </row>
    <row r="778" spans="1:11" ht="12.95" customHeight="1" x14ac:dyDescent="0.2">
      <c r="A778" s="157"/>
      <c r="B778" s="157"/>
      <c r="C778" s="157">
        <v>4117</v>
      </c>
      <c r="D778" s="185" t="s">
        <v>179</v>
      </c>
      <c r="E778" s="229">
        <v>3582</v>
      </c>
      <c r="F778" s="229"/>
      <c r="G778" s="229">
        <f t="shared" si="267"/>
        <v>3582</v>
      </c>
      <c r="H778" s="229"/>
      <c r="I778" s="229">
        <f t="shared" si="268"/>
        <v>3582</v>
      </c>
      <c r="J778" s="229"/>
      <c r="K778" s="229">
        <f t="shared" si="269"/>
        <v>3582</v>
      </c>
    </row>
    <row r="779" spans="1:11" ht="12.95" customHeight="1" x14ac:dyDescent="0.2">
      <c r="A779" s="157"/>
      <c r="B779" s="157"/>
      <c r="C779" s="157">
        <v>4119</v>
      </c>
      <c r="D779" s="185" t="s">
        <v>179</v>
      </c>
      <c r="E779" s="229">
        <v>896</v>
      </c>
      <c r="F779" s="229"/>
      <c r="G779" s="229">
        <f t="shared" si="267"/>
        <v>896</v>
      </c>
      <c r="H779" s="229"/>
      <c r="I779" s="229">
        <f t="shared" si="268"/>
        <v>896</v>
      </c>
      <c r="J779" s="229"/>
      <c r="K779" s="229">
        <f t="shared" si="269"/>
        <v>896</v>
      </c>
    </row>
    <row r="780" spans="1:11" ht="12.95" customHeight="1" x14ac:dyDescent="0.2">
      <c r="A780" s="157"/>
      <c r="B780" s="157"/>
      <c r="C780" s="157">
        <v>4127</v>
      </c>
      <c r="D780" s="185" t="s">
        <v>180</v>
      </c>
      <c r="E780" s="229">
        <v>486</v>
      </c>
      <c r="F780" s="229"/>
      <c r="G780" s="229">
        <f t="shared" si="267"/>
        <v>486</v>
      </c>
      <c r="H780" s="229"/>
      <c r="I780" s="229">
        <f t="shared" si="268"/>
        <v>486</v>
      </c>
      <c r="J780" s="229"/>
      <c r="K780" s="229">
        <f t="shared" si="269"/>
        <v>486</v>
      </c>
    </row>
    <row r="781" spans="1:11" ht="12.95" customHeight="1" x14ac:dyDescent="0.2">
      <c r="A781" s="157"/>
      <c r="B781" s="157"/>
      <c r="C781" s="157">
        <v>4129</v>
      </c>
      <c r="D781" s="185" t="s">
        <v>180</v>
      </c>
      <c r="E781" s="229">
        <v>121</v>
      </c>
      <c r="F781" s="229"/>
      <c r="G781" s="229">
        <f t="shared" si="267"/>
        <v>121</v>
      </c>
      <c r="H781" s="229"/>
      <c r="I781" s="229">
        <f t="shared" si="268"/>
        <v>121</v>
      </c>
      <c r="J781" s="229"/>
      <c r="K781" s="229">
        <f t="shared" si="269"/>
        <v>121</v>
      </c>
    </row>
    <row r="782" spans="1:11" ht="12.95" customHeight="1" x14ac:dyDescent="0.2">
      <c r="A782" s="157"/>
      <c r="B782" s="157"/>
      <c r="C782" s="157">
        <v>4217</v>
      </c>
      <c r="D782" s="185" t="s">
        <v>154</v>
      </c>
      <c r="E782" s="229">
        <v>928</v>
      </c>
      <c r="F782" s="229"/>
      <c r="G782" s="229">
        <f t="shared" si="267"/>
        <v>928</v>
      </c>
      <c r="H782" s="229"/>
      <c r="I782" s="229">
        <f t="shared" si="268"/>
        <v>928</v>
      </c>
      <c r="J782" s="229"/>
      <c r="K782" s="229">
        <f t="shared" si="269"/>
        <v>928</v>
      </c>
    </row>
    <row r="783" spans="1:11" ht="12.95" customHeight="1" x14ac:dyDescent="0.2">
      <c r="A783" s="157"/>
      <c r="B783" s="157"/>
      <c r="C783" s="157">
        <v>4219</v>
      </c>
      <c r="D783" s="185" t="s">
        <v>154</v>
      </c>
      <c r="E783" s="229">
        <v>232</v>
      </c>
      <c r="F783" s="229"/>
      <c r="G783" s="229">
        <f t="shared" si="267"/>
        <v>232</v>
      </c>
      <c r="H783" s="229"/>
      <c r="I783" s="229">
        <f t="shared" si="268"/>
        <v>232</v>
      </c>
      <c r="J783" s="229"/>
      <c r="K783" s="229">
        <f t="shared" si="269"/>
        <v>232</v>
      </c>
    </row>
    <row r="784" spans="1:11" ht="12.95" customHeight="1" x14ac:dyDescent="0.2">
      <c r="A784" s="157"/>
      <c r="B784" s="157"/>
      <c r="C784" s="157">
        <v>4307</v>
      </c>
      <c r="D784" s="185" t="s">
        <v>145</v>
      </c>
      <c r="E784" s="229">
        <v>323</v>
      </c>
      <c r="F784" s="229"/>
      <c r="G784" s="229">
        <f t="shared" si="267"/>
        <v>323</v>
      </c>
      <c r="H784" s="229"/>
      <c r="I784" s="229">
        <f t="shared" si="268"/>
        <v>323</v>
      </c>
      <c r="J784" s="229"/>
      <c r="K784" s="229">
        <f t="shared" si="269"/>
        <v>323</v>
      </c>
    </row>
    <row r="785" spans="1:11" ht="12.95" customHeight="1" x14ac:dyDescent="0.2">
      <c r="A785" s="157"/>
      <c r="B785" s="157"/>
      <c r="C785" s="157">
        <v>4309</v>
      </c>
      <c r="D785" s="185" t="s">
        <v>145</v>
      </c>
      <c r="E785" s="229">
        <v>81</v>
      </c>
      <c r="F785" s="229"/>
      <c r="G785" s="229">
        <f t="shared" si="267"/>
        <v>81</v>
      </c>
      <c r="H785" s="229"/>
      <c r="I785" s="229">
        <f t="shared" si="268"/>
        <v>81</v>
      </c>
      <c r="J785" s="229"/>
      <c r="K785" s="229">
        <f t="shared" si="269"/>
        <v>81</v>
      </c>
    </row>
    <row r="786" spans="1:11" ht="12.95" customHeight="1" x14ac:dyDescent="0.2">
      <c r="A786" s="157"/>
      <c r="B786" s="214"/>
      <c r="C786" s="303" t="s">
        <v>158</v>
      </c>
      <c r="D786" s="304"/>
      <c r="E786" s="235">
        <f t="shared" ref="E786:K786" si="270">SUM(E787:E789)</f>
        <v>4022182</v>
      </c>
      <c r="F786" s="235">
        <f t="shared" si="270"/>
        <v>0</v>
      </c>
      <c r="G786" s="235">
        <f t="shared" si="270"/>
        <v>4022182</v>
      </c>
      <c r="H786" s="235">
        <f t="shared" si="270"/>
        <v>0</v>
      </c>
      <c r="I786" s="235">
        <f t="shared" si="270"/>
        <v>4022182</v>
      </c>
      <c r="J786" s="235">
        <f t="shared" si="270"/>
        <v>0</v>
      </c>
      <c r="K786" s="235">
        <f t="shared" si="270"/>
        <v>4022182</v>
      </c>
    </row>
    <row r="787" spans="1:11" ht="12.95" customHeight="1" x14ac:dyDescent="0.2">
      <c r="A787" s="157"/>
      <c r="B787" s="157"/>
      <c r="C787" s="144">
        <v>6050</v>
      </c>
      <c r="D787" s="185" t="s">
        <v>159</v>
      </c>
      <c r="E787" s="229">
        <v>368601</v>
      </c>
      <c r="F787" s="229"/>
      <c r="G787" s="229">
        <f>SUM(E787:F787)</f>
        <v>368601</v>
      </c>
      <c r="H787" s="229"/>
      <c r="I787" s="229">
        <f>SUM(G787:H787)</f>
        <v>368601</v>
      </c>
      <c r="J787" s="229"/>
      <c r="K787" s="229">
        <f>SUM(I787:J787)</f>
        <v>368601</v>
      </c>
    </row>
    <row r="788" spans="1:11" ht="12.95" customHeight="1" x14ac:dyDescent="0.2">
      <c r="A788" s="157"/>
      <c r="B788" s="157"/>
      <c r="C788" s="144">
        <v>6057</v>
      </c>
      <c r="D788" s="185" t="s">
        <v>159</v>
      </c>
      <c r="E788" s="229">
        <v>1659892</v>
      </c>
      <c r="F788" s="229"/>
      <c r="G788" s="229">
        <f>SUM(E788:F788)</f>
        <v>1659892</v>
      </c>
      <c r="H788" s="229"/>
      <c r="I788" s="229">
        <f>SUM(G788:H788)</f>
        <v>1659892</v>
      </c>
      <c r="J788" s="229"/>
      <c r="K788" s="229">
        <f>SUM(I788:J788)</f>
        <v>1659892</v>
      </c>
    </row>
    <row r="789" spans="1:11" ht="12.95" customHeight="1" x14ac:dyDescent="0.2">
      <c r="A789" s="157"/>
      <c r="B789" s="157"/>
      <c r="C789" s="157">
        <v>6059</v>
      </c>
      <c r="D789" s="185" t="s">
        <v>159</v>
      </c>
      <c r="E789" s="229">
        <v>1993689</v>
      </c>
      <c r="F789" s="229"/>
      <c r="G789" s="229">
        <f>SUM(E789:F789)</f>
        <v>1993689</v>
      </c>
      <c r="H789" s="229"/>
      <c r="I789" s="229">
        <f>SUM(G789:H789)</f>
        <v>1993689</v>
      </c>
      <c r="J789" s="229"/>
      <c r="K789" s="229">
        <f>SUM(I789:J789)</f>
        <v>1993689</v>
      </c>
    </row>
    <row r="790" spans="1:11" ht="24.75" customHeight="1" x14ac:dyDescent="0.2">
      <c r="A790" s="157"/>
      <c r="B790" s="157"/>
      <c r="C790" s="309" t="s">
        <v>266</v>
      </c>
      <c r="D790" s="310"/>
      <c r="E790" s="229">
        <f t="shared" ref="E790:K790" si="271">SUM(E788:E789)</f>
        <v>3653581</v>
      </c>
      <c r="F790" s="229">
        <f t="shared" si="271"/>
        <v>0</v>
      </c>
      <c r="G790" s="229">
        <f t="shared" si="271"/>
        <v>3653581</v>
      </c>
      <c r="H790" s="229">
        <f t="shared" si="271"/>
        <v>0</v>
      </c>
      <c r="I790" s="229">
        <f t="shared" si="271"/>
        <v>3653581</v>
      </c>
      <c r="J790" s="229">
        <f t="shared" si="271"/>
        <v>0</v>
      </c>
      <c r="K790" s="229">
        <f t="shared" si="271"/>
        <v>3653581</v>
      </c>
    </row>
    <row r="791" spans="1:11" ht="12.95" customHeight="1" x14ac:dyDescent="0.2">
      <c r="A791" s="170">
        <v>921</v>
      </c>
      <c r="B791" s="170"/>
      <c r="C791" s="143"/>
      <c r="D791" s="189" t="s">
        <v>250</v>
      </c>
      <c r="E791" s="236">
        <f t="shared" ref="E791:K791" si="272">SUM(E792+E797+E800)</f>
        <v>225065</v>
      </c>
      <c r="F791" s="236">
        <f t="shared" si="272"/>
        <v>0</v>
      </c>
      <c r="G791" s="236">
        <f t="shared" si="272"/>
        <v>225065</v>
      </c>
      <c r="H791" s="236">
        <f t="shared" si="272"/>
        <v>0</v>
      </c>
      <c r="I791" s="236">
        <f t="shared" si="272"/>
        <v>225065</v>
      </c>
      <c r="J791" s="236">
        <f t="shared" si="272"/>
        <v>16300</v>
      </c>
      <c r="K791" s="236">
        <f t="shared" si="272"/>
        <v>241365</v>
      </c>
    </row>
    <row r="792" spans="1:11" ht="12.95" customHeight="1" x14ac:dyDescent="0.2">
      <c r="A792" s="167"/>
      <c r="B792" s="167">
        <v>92116</v>
      </c>
      <c r="C792" s="146"/>
      <c r="D792" s="188" t="s">
        <v>251</v>
      </c>
      <c r="E792" s="245">
        <f t="shared" ref="E792:K792" si="273">SUM(E793+E795)</f>
        <v>119105</v>
      </c>
      <c r="F792" s="245">
        <f t="shared" si="273"/>
        <v>0</v>
      </c>
      <c r="G792" s="245">
        <f t="shared" si="273"/>
        <v>119105</v>
      </c>
      <c r="H792" s="245">
        <f t="shared" si="273"/>
        <v>0</v>
      </c>
      <c r="I792" s="245">
        <f t="shared" si="273"/>
        <v>119105</v>
      </c>
      <c r="J792" s="245">
        <f t="shared" si="273"/>
        <v>0</v>
      </c>
      <c r="K792" s="245">
        <f t="shared" si="273"/>
        <v>119105</v>
      </c>
    </row>
    <row r="793" spans="1:11" s="127" customFormat="1" ht="12.95" customHeight="1" x14ac:dyDescent="0.2">
      <c r="A793" s="168"/>
      <c r="B793" s="152"/>
      <c r="C793" s="299" t="s">
        <v>167</v>
      </c>
      <c r="D793" s="300"/>
      <c r="E793" s="246">
        <f t="shared" ref="E793:K793" si="274">SUM(E794)</f>
        <v>108875</v>
      </c>
      <c r="F793" s="246">
        <f t="shared" si="274"/>
        <v>0</v>
      </c>
      <c r="G793" s="246">
        <f t="shared" si="274"/>
        <v>108875</v>
      </c>
      <c r="H793" s="246">
        <f t="shared" si="274"/>
        <v>0</v>
      </c>
      <c r="I793" s="246">
        <f t="shared" si="274"/>
        <v>108875</v>
      </c>
      <c r="J793" s="246">
        <f t="shared" si="274"/>
        <v>0</v>
      </c>
      <c r="K793" s="246">
        <f t="shared" si="274"/>
        <v>108875</v>
      </c>
    </row>
    <row r="794" spans="1:11" ht="12.95" customHeight="1" x14ac:dyDescent="0.2">
      <c r="A794" s="157"/>
      <c r="B794" s="157"/>
      <c r="C794" s="144">
        <v>2310</v>
      </c>
      <c r="D794" s="185" t="s">
        <v>252</v>
      </c>
      <c r="E794" s="229">
        <v>108875</v>
      </c>
      <c r="F794" s="229"/>
      <c r="G794" s="229">
        <f>SUM(E794:F794)</f>
        <v>108875</v>
      </c>
      <c r="H794" s="229"/>
      <c r="I794" s="229">
        <f>SUM(G794:H794)</f>
        <v>108875</v>
      </c>
      <c r="J794" s="229"/>
      <c r="K794" s="229">
        <f>SUM(I794:J794)</f>
        <v>108875</v>
      </c>
    </row>
    <row r="795" spans="1:11" ht="22.5" customHeight="1" x14ac:dyDescent="0.2">
      <c r="A795" s="157"/>
      <c r="B795" s="214"/>
      <c r="C795" s="309" t="s">
        <v>294</v>
      </c>
      <c r="D795" s="310"/>
      <c r="E795" s="235">
        <f t="shared" ref="E795:K795" si="275">SUM(E796)</f>
        <v>10230</v>
      </c>
      <c r="F795" s="235">
        <f t="shared" si="275"/>
        <v>0</v>
      </c>
      <c r="G795" s="235">
        <f t="shared" si="275"/>
        <v>10230</v>
      </c>
      <c r="H795" s="235">
        <f t="shared" si="275"/>
        <v>0</v>
      </c>
      <c r="I795" s="235">
        <f t="shared" si="275"/>
        <v>10230</v>
      </c>
      <c r="J795" s="235">
        <f t="shared" si="275"/>
        <v>0</v>
      </c>
      <c r="K795" s="235">
        <f t="shared" si="275"/>
        <v>10230</v>
      </c>
    </row>
    <row r="796" spans="1:11" ht="12.95" customHeight="1" x14ac:dyDescent="0.2">
      <c r="A796" s="157"/>
      <c r="B796" s="157"/>
      <c r="C796" s="144">
        <v>4210</v>
      </c>
      <c r="D796" s="185" t="s">
        <v>154</v>
      </c>
      <c r="E796" s="229">
        <v>10230</v>
      </c>
      <c r="F796" s="229"/>
      <c r="G796" s="229">
        <f>SUM(E796:F796)</f>
        <v>10230</v>
      </c>
      <c r="H796" s="229"/>
      <c r="I796" s="229">
        <f>SUM(G796:H796)</f>
        <v>10230</v>
      </c>
      <c r="J796" s="229"/>
      <c r="K796" s="229">
        <f>SUM(I796:J796)</f>
        <v>10230</v>
      </c>
    </row>
    <row r="797" spans="1:11" ht="12.95" customHeight="1" x14ac:dyDescent="0.2">
      <c r="A797" s="167"/>
      <c r="B797" s="167">
        <v>92120</v>
      </c>
      <c r="C797" s="146"/>
      <c r="D797" s="188" t="s">
        <v>296</v>
      </c>
      <c r="E797" s="234">
        <f t="shared" ref="E797:K798" si="276">SUM(E798)</f>
        <v>45960</v>
      </c>
      <c r="F797" s="234">
        <f t="shared" si="276"/>
        <v>0</v>
      </c>
      <c r="G797" s="234">
        <f t="shared" si="276"/>
        <v>45960</v>
      </c>
      <c r="H797" s="234">
        <f t="shared" si="276"/>
        <v>0</v>
      </c>
      <c r="I797" s="234">
        <f t="shared" si="276"/>
        <v>45960</v>
      </c>
      <c r="J797" s="234">
        <f t="shared" si="276"/>
        <v>0</v>
      </c>
      <c r="K797" s="234">
        <f t="shared" si="276"/>
        <v>45960</v>
      </c>
    </row>
    <row r="798" spans="1:11" ht="12.95" customHeight="1" x14ac:dyDescent="0.2">
      <c r="A798" s="157"/>
      <c r="B798" s="157"/>
      <c r="C798" s="303" t="s">
        <v>167</v>
      </c>
      <c r="D798" s="304"/>
      <c r="E798" s="235">
        <f t="shared" si="276"/>
        <v>45960</v>
      </c>
      <c r="F798" s="235">
        <f t="shared" si="276"/>
        <v>0</v>
      </c>
      <c r="G798" s="235">
        <f t="shared" si="276"/>
        <v>45960</v>
      </c>
      <c r="H798" s="235">
        <f t="shared" si="276"/>
        <v>0</v>
      </c>
      <c r="I798" s="235">
        <f t="shared" si="276"/>
        <v>45960</v>
      </c>
      <c r="J798" s="235">
        <f t="shared" si="276"/>
        <v>0</v>
      </c>
      <c r="K798" s="235">
        <f t="shared" si="276"/>
        <v>45960</v>
      </c>
    </row>
    <row r="799" spans="1:11" ht="12.95" customHeight="1" x14ac:dyDescent="0.2">
      <c r="A799" s="157"/>
      <c r="B799" s="157"/>
      <c r="C799" s="144">
        <v>2580</v>
      </c>
      <c r="D799" s="185" t="s">
        <v>242</v>
      </c>
      <c r="E799" s="229">
        <v>45960</v>
      </c>
      <c r="F799" s="229"/>
      <c r="G799" s="229">
        <f>SUM(E799:F799)</f>
        <v>45960</v>
      </c>
      <c r="H799" s="229"/>
      <c r="I799" s="229">
        <f>SUM(G799:H799)</f>
        <v>45960</v>
      </c>
      <c r="J799" s="229"/>
      <c r="K799" s="229">
        <f>SUM(I799:J799)</f>
        <v>45960</v>
      </c>
    </row>
    <row r="800" spans="1:11" ht="12.95" customHeight="1" x14ac:dyDescent="0.2">
      <c r="A800" s="167"/>
      <c r="B800" s="167">
        <v>92195</v>
      </c>
      <c r="C800" s="146"/>
      <c r="D800" s="188" t="s">
        <v>65</v>
      </c>
      <c r="E800" s="234">
        <f t="shared" ref="E800:K800" si="277">SUM(E801+E804+E806)</f>
        <v>60000</v>
      </c>
      <c r="F800" s="234">
        <f t="shared" si="277"/>
        <v>0</v>
      </c>
      <c r="G800" s="234">
        <f t="shared" si="277"/>
        <v>60000</v>
      </c>
      <c r="H800" s="234">
        <f t="shared" si="277"/>
        <v>0</v>
      </c>
      <c r="I800" s="234">
        <f t="shared" si="277"/>
        <v>60000</v>
      </c>
      <c r="J800" s="234">
        <f t="shared" si="277"/>
        <v>16300</v>
      </c>
      <c r="K800" s="234">
        <f t="shared" si="277"/>
        <v>76300</v>
      </c>
    </row>
    <row r="801" spans="1:11" s="127" customFormat="1" ht="28.5" customHeight="1" x14ac:dyDescent="0.2">
      <c r="A801" s="168"/>
      <c r="B801" s="207"/>
      <c r="C801" s="292" t="s">
        <v>294</v>
      </c>
      <c r="D801" s="293"/>
      <c r="E801" s="228">
        <f t="shared" ref="E801:K801" si="278">SUM(E802:E803)</f>
        <v>28000</v>
      </c>
      <c r="F801" s="228">
        <f t="shared" si="278"/>
        <v>0</v>
      </c>
      <c r="G801" s="228">
        <f t="shared" si="278"/>
        <v>28000</v>
      </c>
      <c r="H801" s="228">
        <f t="shared" si="278"/>
        <v>0</v>
      </c>
      <c r="I801" s="228">
        <f t="shared" si="278"/>
        <v>28000</v>
      </c>
      <c r="J801" s="228">
        <f t="shared" si="278"/>
        <v>24300</v>
      </c>
      <c r="K801" s="228">
        <f t="shared" si="278"/>
        <v>52300</v>
      </c>
    </row>
    <row r="802" spans="1:11" ht="12.95" customHeight="1" x14ac:dyDescent="0.2">
      <c r="A802" s="157"/>
      <c r="B802" s="157"/>
      <c r="C802" s="144">
        <v>4210</v>
      </c>
      <c r="D802" s="192" t="s">
        <v>154</v>
      </c>
      <c r="E802" s="229">
        <v>2500</v>
      </c>
      <c r="F802" s="229"/>
      <c r="G802" s="229">
        <f>SUM(E802:F802)</f>
        <v>2500</v>
      </c>
      <c r="H802" s="229"/>
      <c r="I802" s="229">
        <f>SUM(G802:H802)</f>
        <v>2500</v>
      </c>
      <c r="J802" s="229"/>
      <c r="K802" s="229">
        <f>SUM(I802:J802)</f>
        <v>2500</v>
      </c>
    </row>
    <row r="803" spans="1:11" ht="12.95" customHeight="1" x14ac:dyDescent="0.2">
      <c r="A803" s="157"/>
      <c r="B803" s="157"/>
      <c r="C803" s="144">
        <v>4300</v>
      </c>
      <c r="D803" s="191" t="s">
        <v>145</v>
      </c>
      <c r="E803" s="229">
        <v>25500</v>
      </c>
      <c r="F803" s="229"/>
      <c r="G803" s="229">
        <f>SUM(E803:F803)</f>
        <v>25500</v>
      </c>
      <c r="H803" s="229"/>
      <c r="I803" s="229">
        <f>SUM(G803:H803)</f>
        <v>25500</v>
      </c>
      <c r="J803" s="229">
        <f>7000+16300+1000</f>
        <v>24300</v>
      </c>
      <c r="K803" s="229">
        <f>SUM(I803:J803)</f>
        <v>49800</v>
      </c>
    </row>
    <row r="804" spans="1:11" ht="12.95" customHeight="1" x14ac:dyDescent="0.2">
      <c r="A804" s="157"/>
      <c r="B804" s="157"/>
      <c r="C804" s="303" t="s">
        <v>167</v>
      </c>
      <c r="D804" s="304"/>
      <c r="E804" s="235">
        <f t="shared" ref="E804:K804" si="279">SUM(E805)</f>
        <v>20000</v>
      </c>
      <c r="F804" s="235">
        <f t="shared" si="279"/>
        <v>0</v>
      </c>
      <c r="G804" s="235">
        <f t="shared" si="279"/>
        <v>20000</v>
      </c>
      <c r="H804" s="235">
        <f t="shared" si="279"/>
        <v>0</v>
      </c>
      <c r="I804" s="235">
        <f t="shared" si="279"/>
        <v>20000</v>
      </c>
      <c r="J804" s="235">
        <f t="shared" si="279"/>
        <v>-1000</v>
      </c>
      <c r="K804" s="235">
        <f t="shared" si="279"/>
        <v>19000</v>
      </c>
    </row>
    <row r="805" spans="1:11" ht="12.95" customHeight="1" x14ac:dyDescent="0.2">
      <c r="A805" s="157"/>
      <c r="B805" s="157"/>
      <c r="C805" s="144">
        <v>2360</v>
      </c>
      <c r="D805" s="191" t="s">
        <v>168</v>
      </c>
      <c r="E805" s="229">
        <v>20000</v>
      </c>
      <c r="F805" s="229"/>
      <c r="G805" s="229">
        <f>SUM(E805:F805)</f>
        <v>20000</v>
      </c>
      <c r="H805" s="229"/>
      <c r="I805" s="229">
        <f>SUM(G805:H805)</f>
        <v>20000</v>
      </c>
      <c r="J805" s="229">
        <v>-1000</v>
      </c>
      <c r="K805" s="229">
        <f>SUM(I805:J805)</f>
        <v>19000</v>
      </c>
    </row>
    <row r="806" spans="1:11" ht="12.95" customHeight="1" x14ac:dyDescent="0.2">
      <c r="A806" s="157"/>
      <c r="B806" s="157"/>
      <c r="C806" s="303" t="s">
        <v>152</v>
      </c>
      <c r="D806" s="304"/>
      <c r="E806" s="235">
        <f t="shared" ref="E806:K806" si="280">SUM(E807)</f>
        <v>12000</v>
      </c>
      <c r="F806" s="235">
        <f t="shared" si="280"/>
        <v>0</v>
      </c>
      <c r="G806" s="235">
        <f t="shared" si="280"/>
        <v>12000</v>
      </c>
      <c r="H806" s="235">
        <f t="shared" si="280"/>
        <v>0</v>
      </c>
      <c r="I806" s="235">
        <f t="shared" si="280"/>
        <v>12000</v>
      </c>
      <c r="J806" s="235">
        <f t="shared" si="280"/>
        <v>-7000</v>
      </c>
      <c r="K806" s="235">
        <f t="shared" si="280"/>
        <v>5000</v>
      </c>
    </row>
    <row r="807" spans="1:11" ht="12.95" customHeight="1" x14ac:dyDescent="0.2">
      <c r="A807" s="157"/>
      <c r="B807" s="157"/>
      <c r="C807" s="144">
        <v>4170</v>
      </c>
      <c r="D807" s="191" t="s">
        <v>153</v>
      </c>
      <c r="E807" s="229">
        <v>12000</v>
      </c>
      <c r="F807" s="229"/>
      <c r="G807" s="229">
        <f>SUM(E807:F807)</f>
        <v>12000</v>
      </c>
      <c r="H807" s="229"/>
      <c r="I807" s="229">
        <f>SUM(G807:H807)</f>
        <v>12000</v>
      </c>
      <c r="J807" s="229">
        <v>-7000</v>
      </c>
      <c r="K807" s="229">
        <f>SUM(I807:J807)</f>
        <v>5000</v>
      </c>
    </row>
    <row r="808" spans="1:11" ht="12.95" customHeight="1" x14ac:dyDescent="0.2">
      <c r="A808" s="170">
        <v>926</v>
      </c>
      <c r="B808" s="170"/>
      <c r="C808" s="143"/>
      <c r="D808" s="189" t="s">
        <v>253</v>
      </c>
      <c r="E808" s="236">
        <f t="shared" ref="E808:K808" si="281">SUM(E809+E814)</f>
        <v>839825</v>
      </c>
      <c r="F808" s="236">
        <f t="shared" si="281"/>
        <v>-206853</v>
      </c>
      <c r="G808" s="236">
        <f t="shared" si="281"/>
        <v>632972</v>
      </c>
      <c r="H808" s="236">
        <f t="shared" si="281"/>
        <v>0</v>
      </c>
      <c r="I808" s="236">
        <f t="shared" si="281"/>
        <v>632972</v>
      </c>
      <c r="J808" s="236">
        <f t="shared" si="281"/>
        <v>0</v>
      </c>
      <c r="K808" s="236">
        <f t="shared" si="281"/>
        <v>632972</v>
      </c>
    </row>
    <row r="809" spans="1:11" ht="12.95" customHeight="1" x14ac:dyDescent="0.2">
      <c r="A809" s="167"/>
      <c r="B809" s="167">
        <v>92605</v>
      </c>
      <c r="C809" s="146"/>
      <c r="D809" s="188" t="s">
        <v>254</v>
      </c>
      <c r="E809" s="234">
        <f>SUM(E812)</f>
        <v>80000</v>
      </c>
      <c r="F809" s="234">
        <f>SUM(F812)</f>
        <v>0</v>
      </c>
      <c r="G809" s="234">
        <f>SUM(G812)</f>
        <v>80000</v>
      </c>
      <c r="H809" s="234">
        <f>SUM(H812)</f>
        <v>0</v>
      </c>
      <c r="I809" s="234">
        <f>SUM(I810+I812)</f>
        <v>80000</v>
      </c>
      <c r="J809" s="234">
        <f>SUM(J810+J812)</f>
        <v>0</v>
      </c>
      <c r="K809" s="234">
        <f>SUM(K810+K812)</f>
        <v>80000</v>
      </c>
    </row>
    <row r="810" spans="1:11" ht="23.25" customHeight="1" x14ac:dyDescent="0.2">
      <c r="A810" s="270"/>
      <c r="B810" s="270"/>
      <c r="C810" s="292" t="s">
        <v>294</v>
      </c>
      <c r="D810" s="293"/>
      <c r="E810" s="271"/>
      <c r="F810" s="271"/>
      <c r="G810" s="271"/>
      <c r="H810" s="271"/>
      <c r="I810" s="273">
        <f>SUM(I811)</f>
        <v>0</v>
      </c>
      <c r="J810" s="273">
        <f>SUM(J811)</f>
        <v>2000</v>
      </c>
      <c r="K810" s="273">
        <f>SUM(K811)</f>
        <v>2000</v>
      </c>
    </row>
    <row r="811" spans="1:11" ht="12.95" customHeight="1" x14ac:dyDescent="0.2">
      <c r="A811" s="270"/>
      <c r="B811" s="270"/>
      <c r="C811" s="274">
        <v>4300</v>
      </c>
      <c r="D811" s="275" t="s">
        <v>145</v>
      </c>
      <c r="E811" s="271"/>
      <c r="F811" s="271"/>
      <c r="G811" s="271"/>
      <c r="H811" s="271"/>
      <c r="I811" s="272"/>
      <c r="J811" s="272">
        <v>2000</v>
      </c>
      <c r="K811" s="272">
        <f>SUM(I811:J811)</f>
        <v>2000</v>
      </c>
    </row>
    <row r="812" spans="1:11" s="127" customFormat="1" ht="12.95" customHeight="1" x14ac:dyDescent="0.2">
      <c r="A812" s="171"/>
      <c r="B812" s="152"/>
      <c r="C812" s="299" t="s">
        <v>167</v>
      </c>
      <c r="D812" s="300"/>
      <c r="E812" s="228">
        <f t="shared" ref="E812:K812" si="282">SUM(E813)</f>
        <v>80000</v>
      </c>
      <c r="F812" s="228">
        <f t="shared" si="282"/>
        <v>0</v>
      </c>
      <c r="G812" s="228">
        <f t="shared" si="282"/>
        <v>80000</v>
      </c>
      <c r="H812" s="228">
        <f t="shared" si="282"/>
        <v>0</v>
      </c>
      <c r="I812" s="228">
        <f t="shared" si="282"/>
        <v>80000</v>
      </c>
      <c r="J812" s="228">
        <f t="shared" si="282"/>
        <v>-2000</v>
      </c>
      <c r="K812" s="228">
        <f t="shared" si="282"/>
        <v>78000</v>
      </c>
    </row>
    <row r="813" spans="1:11" ht="12.95" customHeight="1" x14ac:dyDescent="0.2">
      <c r="A813" s="172"/>
      <c r="B813" s="172"/>
      <c r="C813" s="144">
        <v>2360</v>
      </c>
      <c r="D813" s="201" t="s">
        <v>168</v>
      </c>
      <c r="E813" s="233">
        <v>80000</v>
      </c>
      <c r="F813" s="233"/>
      <c r="G813" s="233">
        <v>80000</v>
      </c>
      <c r="H813" s="233"/>
      <c r="I813" s="233">
        <v>80000</v>
      </c>
      <c r="J813" s="233">
        <v>-2000</v>
      </c>
      <c r="K813" s="233">
        <f>SUM(I813:J813)</f>
        <v>78000</v>
      </c>
    </row>
    <row r="814" spans="1:11" ht="12.95" customHeight="1" x14ac:dyDescent="0.2">
      <c r="A814" s="167"/>
      <c r="B814" s="167">
        <v>92695</v>
      </c>
      <c r="C814" s="146"/>
      <c r="D814" s="188" t="s">
        <v>65</v>
      </c>
      <c r="E814" s="234">
        <f t="shared" ref="E814:K814" si="283">SUM(E815+E818+E820)</f>
        <v>759825</v>
      </c>
      <c r="F814" s="234">
        <f t="shared" si="283"/>
        <v>-206853</v>
      </c>
      <c r="G814" s="234">
        <f t="shared" si="283"/>
        <v>552972</v>
      </c>
      <c r="H814" s="234">
        <f t="shared" si="283"/>
        <v>0</v>
      </c>
      <c r="I814" s="234">
        <f t="shared" si="283"/>
        <v>552972</v>
      </c>
      <c r="J814" s="234">
        <f t="shared" si="283"/>
        <v>0</v>
      </c>
      <c r="K814" s="234">
        <f t="shared" si="283"/>
        <v>552972</v>
      </c>
    </row>
    <row r="815" spans="1:11" s="127" customFormat="1" ht="25.5" customHeight="1" x14ac:dyDescent="0.2">
      <c r="A815" s="168"/>
      <c r="B815" s="207"/>
      <c r="C815" s="292" t="s">
        <v>294</v>
      </c>
      <c r="D815" s="293"/>
      <c r="E815" s="228">
        <f t="shared" ref="E815:K815" si="284">SUM(E816:E817)</f>
        <v>6500</v>
      </c>
      <c r="F815" s="228">
        <f t="shared" si="284"/>
        <v>0</v>
      </c>
      <c r="G815" s="228">
        <f t="shared" si="284"/>
        <v>6500</v>
      </c>
      <c r="H815" s="228">
        <f t="shared" si="284"/>
        <v>0</v>
      </c>
      <c r="I815" s="228">
        <f t="shared" si="284"/>
        <v>6500</v>
      </c>
      <c r="J815" s="228">
        <f t="shared" si="284"/>
        <v>0</v>
      </c>
      <c r="K815" s="228">
        <f t="shared" si="284"/>
        <v>6500</v>
      </c>
    </row>
    <row r="816" spans="1:11" ht="12.95" customHeight="1" x14ac:dyDescent="0.2">
      <c r="A816" s="157"/>
      <c r="B816" s="157"/>
      <c r="C816" s="144">
        <v>4210</v>
      </c>
      <c r="D816" s="192" t="s">
        <v>154</v>
      </c>
      <c r="E816" s="229">
        <v>5500</v>
      </c>
      <c r="F816" s="229"/>
      <c r="G816" s="229">
        <f>SUM(E816:F816)</f>
        <v>5500</v>
      </c>
      <c r="H816" s="229"/>
      <c r="I816" s="229">
        <f>SUM(G816:H816)</f>
        <v>5500</v>
      </c>
      <c r="J816" s="229"/>
      <c r="K816" s="229">
        <f>SUM(I816:J816)</f>
        <v>5500</v>
      </c>
    </row>
    <row r="817" spans="1:11" ht="12.95" customHeight="1" x14ac:dyDescent="0.2">
      <c r="A817" s="157"/>
      <c r="B817" s="157"/>
      <c r="C817" s="144">
        <v>4300</v>
      </c>
      <c r="D817" s="185" t="s">
        <v>145</v>
      </c>
      <c r="E817" s="229">
        <v>1000</v>
      </c>
      <c r="F817" s="229"/>
      <c r="G817" s="229">
        <f>SUM(E817:F817)</f>
        <v>1000</v>
      </c>
      <c r="H817" s="229"/>
      <c r="I817" s="229">
        <f>SUM(G817:H817)</f>
        <v>1000</v>
      </c>
      <c r="J817" s="229"/>
      <c r="K817" s="229">
        <f>SUM(I817:J817)</f>
        <v>1000</v>
      </c>
    </row>
    <row r="818" spans="1:11" ht="12.95" customHeight="1" x14ac:dyDescent="0.2">
      <c r="A818" s="180"/>
      <c r="B818" s="180"/>
      <c r="C818" s="303" t="s">
        <v>152</v>
      </c>
      <c r="D818" s="304"/>
      <c r="E818" s="252">
        <f t="shared" ref="E818:K818" si="285">SUM(E819)</f>
        <v>1600</v>
      </c>
      <c r="F818" s="252">
        <f t="shared" si="285"/>
        <v>0</v>
      </c>
      <c r="G818" s="252">
        <f t="shared" si="285"/>
        <v>1600</v>
      </c>
      <c r="H818" s="252">
        <f t="shared" si="285"/>
        <v>0</v>
      </c>
      <c r="I818" s="252">
        <f t="shared" si="285"/>
        <v>1600</v>
      </c>
      <c r="J818" s="252">
        <f t="shared" si="285"/>
        <v>0</v>
      </c>
      <c r="K818" s="252">
        <f t="shared" si="285"/>
        <v>1600</v>
      </c>
    </row>
    <row r="819" spans="1:11" ht="12.95" customHeight="1" x14ac:dyDescent="0.2">
      <c r="A819" s="180"/>
      <c r="B819" s="180"/>
      <c r="C819" s="181">
        <v>4170</v>
      </c>
      <c r="D819" s="202" t="s">
        <v>176</v>
      </c>
      <c r="E819" s="253">
        <v>1600</v>
      </c>
      <c r="F819" s="253"/>
      <c r="G819" s="253">
        <f>SUM(E819:F819)</f>
        <v>1600</v>
      </c>
      <c r="H819" s="253"/>
      <c r="I819" s="253">
        <f>SUM(G819:H819)</f>
        <v>1600</v>
      </c>
      <c r="J819" s="253"/>
      <c r="K819" s="253">
        <f>SUM(I819:J819)</f>
        <v>1600</v>
      </c>
    </row>
    <row r="820" spans="1:11" x14ac:dyDescent="0.2">
      <c r="A820" s="180"/>
      <c r="B820" s="180"/>
      <c r="C820" s="303" t="s">
        <v>158</v>
      </c>
      <c r="D820" s="304"/>
      <c r="E820" s="252">
        <f t="shared" ref="E820:K821" si="286">SUM(E821)</f>
        <v>751725</v>
      </c>
      <c r="F820" s="252">
        <f t="shared" si="286"/>
        <v>-206853</v>
      </c>
      <c r="G820" s="252">
        <f t="shared" si="286"/>
        <v>544872</v>
      </c>
      <c r="H820" s="252">
        <f t="shared" si="286"/>
        <v>0</v>
      </c>
      <c r="I820" s="252">
        <f t="shared" si="286"/>
        <v>544872</v>
      </c>
      <c r="J820" s="252">
        <f t="shared" si="286"/>
        <v>0</v>
      </c>
      <c r="K820" s="252">
        <f t="shared" si="286"/>
        <v>544872</v>
      </c>
    </row>
    <row r="821" spans="1:11" x14ac:dyDescent="0.2">
      <c r="A821" s="180"/>
      <c r="B821" s="180"/>
      <c r="C821" s="303" t="s">
        <v>301</v>
      </c>
      <c r="D821" s="304"/>
      <c r="E821" s="252">
        <f t="shared" si="286"/>
        <v>751725</v>
      </c>
      <c r="F821" s="252">
        <f t="shared" si="286"/>
        <v>-206853</v>
      </c>
      <c r="G821" s="252">
        <f t="shared" si="286"/>
        <v>544872</v>
      </c>
      <c r="H821" s="252">
        <f t="shared" si="286"/>
        <v>0</v>
      </c>
      <c r="I821" s="252">
        <f t="shared" si="286"/>
        <v>544872</v>
      </c>
      <c r="J821" s="252">
        <f t="shared" si="286"/>
        <v>0</v>
      </c>
      <c r="K821" s="252">
        <f t="shared" si="286"/>
        <v>544872</v>
      </c>
    </row>
    <row r="822" spans="1:11" x14ac:dyDescent="0.2">
      <c r="A822" s="180"/>
      <c r="B822" s="180"/>
      <c r="C822" s="181">
        <v>6050</v>
      </c>
      <c r="D822" s="202" t="s">
        <v>159</v>
      </c>
      <c r="E822" s="253">
        <v>751725</v>
      </c>
      <c r="F822" s="253">
        <v>-206853</v>
      </c>
      <c r="G822" s="253">
        <f>SUM(E822:F822)</f>
        <v>544872</v>
      </c>
      <c r="H822" s="253"/>
      <c r="I822" s="253">
        <f>SUM(G822:H822)</f>
        <v>544872</v>
      </c>
      <c r="J822" s="253"/>
      <c r="K822" s="253">
        <f>SUM(I822:J822)</f>
        <v>544872</v>
      </c>
    </row>
    <row r="823" spans="1:11" ht="12.95" customHeight="1" thickBot="1" x14ac:dyDescent="0.25">
      <c r="A823" s="179"/>
      <c r="B823" s="179"/>
      <c r="C823" s="151"/>
      <c r="D823" s="203" t="s">
        <v>298</v>
      </c>
      <c r="E823" s="254">
        <f t="shared" ref="E823:K823" si="287">SUM(E808+E791+E771+E673+E598+E443+E416+E213+E206+E202+E162+E100+E69+E54+E50+E26+E14+E10)</f>
        <v>80169554</v>
      </c>
      <c r="F823" s="254">
        <f t="shared" si="287"/>
        <v>1217857</v>
      </c>
      <c r="G823" s="254">
        <f t="shared" si="287"/>
        <v>81387411</v>
      </c>
      <c r="H823" s="254">
        <f t="shared" si="287"/>
        <v>-487084</v>
      </c>
      <c r="I823" s="254">
        <f t="shared" si="287"/>
        <v>80900327</v>
      </c>
      <c r="J823" s="254">
        <f t="shared" si="287"/>
        <v>-266674</v>
      </c>
      <c r="K823" s="254">
        <f t="shared" si="287"/>
        <v>80633653</v>
      </c>
    </row>
    <row r="824" spans="1:11" x14ac:dyDescent="0.2">
      <c r="A824" s="23"/>
      <c r="B824" s="23"/>
      <c r="C824" s="23"/>
      <c r="D824" s="24"/>
      <c r="E824" s="25"/>
    </row>
    <row r="825" spans="1:11" x14ac:dyDescent="0.2">
      <c r="A825" s="23"/>
      <c r="B825" s="23"/>
      <c r="C825" s="23"/>
      <c r="D825" s="26"/>
      <c r="E825" s="27"/>
    </row>
    <row r="826" spans="1:11" x14ac:dyDescent="0.2">
      <c r="A826" s="23"/>
      <c r="B826" s="23"/>
      <c r="C826" s="23"/>
      <c r="D826" s="28"/>
      <c r="E826" s="29"/>
    </row>
    <row r="827" spans="1:11" x14ac:dyDescent="0.2">
      <c r="A827" s="23"/>
      <c r="B827" s="23"/>
      <c r="C827" s="23"/>
      <c r="D827" s="24"/>
      <c r="E827" s="25"/>
    </row>
    <row r="828" spans="1:11" x14ac:dyDescent="0.2">
      <c r="A828" s="23"/>
      <c r="B828" s="23"/>
      <c r="C828" s="23"/>
      <c r="D828" s="30"/>
      <c r="E828" s="31"/>
    </row>
    <row r="829" spans="1:11" x14ac:dyDescent="0.2">
      <c r="A829" s="23"/>
      <c r="B829" s="23"/>
      <c r="C829" s="23"/>
      <c r="D829" s="30"/>
      <c r="E829" s="31"/>
    </row>
    <row r="830" spans="1:11" x14ac:dyDescent="0.2">
      <c r="A830" s="23"/>
      <c r="B830" s="23"/>
      <c r="C830" s="23"/>
      <c r="D830" s="30"/>
      <c r="E830" s="31"/>
    </row>
    <row r="831" spans="1:11" x14ac:dyDescent="0.2">
      <c r="A831" s="23"/>
      <c r="B831" s="23"/>
      <c r="C831" s="23"/>
      <c r="D831" s="30"/>
      <c r="E831" s="31"/>
    </row>
    <row r="832" spans="1:11" x14ac:dyDescent="0.2">
      <c r="A832" s="23"/>
      <c r="B832" s="23"/>
      <c r="C832" s="23"/>
      <c r="D832" s="24"/>
      <c r="E832" s="25"/>
    </row>
    <row r="833" spans="1:5" x14ac:dyDescent="0.2">
      <c r="A833" s="23"/>
      <c r="B833" s="23"/>
      <c r="C833" s="23"/>
      <c r="D833" s="32"/>
      <c r="E833" s="31"/>
    </row>
    <row r="834" spans="1:5" x14ac:dyDescent="0.2">
      <c r="A834" s="23"/>
      <c r="B834" s="23"/>
      <c r="C834" s="23"/>
      <c r="D834" s="32"/>
      <c r="E834" s="31"/>
    </row>
    <row r="835" spans="1:5" x14ac:dyDescent="0.2">
      <c r="A835" s="23"/>
      <c r="B835" s="23"/>
      <c r="C835" s="23"/>
      <c r="D835" s="30"/>
      <c r="E835" s="31"/>
    </row>
    <row r="836" spans="1:5" x14ac:dyDescent="0.2">
      <c r="A836" s="23"/>
      <c r="B836" s="23"/>
      <c r="C836" s="23"/>
      <c r="D836" s="30"/>
      <c r="E836" s="31"/>
    </row>
    <row r="837" spans="1:5" x14ac:dyDescent="0.2">
      <c r="A837" s="23"/>
      <c r="B837" s="23"/>
      <c r="C837" s="23"/>
      <c r="D837" s="30"/>
      <c r="E837" s="31"/>
    </row>
    <row r="838" spans="1:5" x14ac:dyDescent="0.2">
      <c r="A838" s="23"/>
      <c r="B838" s="23"/>
      <c r="C838" s="23"/>
      <c r="D838" s="30"/>
      <c r="E838" s="31"/>
    </row>
    <row r="839" spans="1:5" x14ac:dyDescent="0.2">
      <c r="A839" s="23"/>
      <c r="B839" s="23"/>
      <c r="C839" s="23"/>
      <c r="D839" s="30"/>
      <c r="E839" s="31"/>
    </row>
    <row r="840" spans="1:5" x14ac:dyDescent="0.2">
      <c r="A840" s="23"/>
      <c r="B840" s="23"/>
      <c r="C840" s="23"/>
      <c r="D840" s="32"/>
      <c r="E840" s="31"/>
    </row>
    <row r="841" spans="1:5" x14ac:dyDescent="0.2">
      <c r="A841" s="33"/>
      <c r="B841" s="33"/>
      <c r="C841" s="23"/>
      <c r="D841" s="28"/>
      <c r="E841" s="29"/>
    </row>
    <row r="842" spans="1:5" x14ac:dyDescent="0.2">
      <c r="A842" s="33"/>
      <c r="B842" s="33"/>
      <c r="C842" s="23"/>
      <c r="D842" s="24"/>
      <c r="E842" s="25"/>
    </row>
    <row r="843" spans="1:5" x14ac:dyDescent="0.2">
      <c r="A843" s="33"/>
      <c r="B843" s="33"/>
      <c r="C843" s="23"/>
      <c r="D843" s="30"/>
      <c r="E843" s="31"/>
    </row>
    <row r="844" spans="1:5" x14ac:dyDescent="0.2">
      <c r="A844" s="33"/>
      <c r="B844" s="33"/>
      <c r="C844" s="23"/>
      <c r="D844" s="30"/>
      <c r="E844" s="31"/>
    </row>
    <row r="845" spans="1:5" x14ac:dyDescent="0.2">
      <c r="A845" s="33"/>
      <c r="B845" s="33"/>
      <c r="C845" s="23"/>
      <c r="D845" s="30"/>
      <c r="E845" s="31"/>
    </row>
    <row r="846" spans="1:5" x14ac:dyDescent="0.2">
      <c r="A846" s="33"/>
      <c r="B846" s="33"/>
      <c r="C846" s="23"/>
      <c r="D846" s="30"/>
      <c r="E846" s="31"/>
    </row>
  </sheetData>
  <sheetProtection selectLockedCells="1" selectUnlockedCells="1"/>
  <mergeCells count="161">
    <mergeCell ref="H6:H8"/>
    <mergeCell ref="I6:I8"/>
    <mergeCell ref="C536:D536"/>
    <mergeCell ref="C388:D388"/>
    <mergeCell ref="C392:D392"/>
    <mergeCell ref="C405:D405"/>
    <mergeCell ref="E6:E8"/>
    <mergeCell ref="C65:D65"/>
    <mergeCell ref="C254:D254"/>
    <mergeCell ref="C430:D430"/>
    <mergeCell ref="C16:D16"/>
    <mergeCell ref="C280:D280"/>
    <mergeCell ref="C375:D375"/>
    <mergeCell ref="B6:B8"/>
    <mergeCell ref="C12:D12"/>
    <mergeCell ref="C6:C8"/>
    <mergeCell ref="C246:D246"/>
    <mergeCell ref="C71:D71"/>
    <mergeCell ref="C19:D19"/>
    <mergeCell ref="C113:D113"/>
    <mergeCell ref="C24:D24"/>
    <mergeCell ref="C56:D56"/>
    <mergeCell ref="C22:D22"/>
    <mergeCell ref="C156:D156"/>
    <mergeCell ref="C139:D139"/>
    <mergeCell ref="C90:D90"/>
    <mergeCell ref="C34:D34"/>
    <mergeCell ref="C41:D41"/>
    <mergeCell ref="C102:D102"/>
    <mergeCell ref="C193:D193"/>
    <mergeCell ref="C308:D308"/>
    <mergeCell ref="C310:D310"/>
    <mergeCell ref="C107:D107"/>
    <mergeCell ref="C160:D160"/>
    <mergeCell ref="C261:D261"/>
    <mergeCell ref="C110:D110"/>
    <mergeCell ref="C300:D300"/>
    <mergeCell ref="C355:D355"/>
    <mergeCell ref="C264:D264"/>
    <mergeCell ref="C242:D242"/>
    <mergeCell ref="C178:D178"/>
    <mergeCell ref="C151:D151"/>
    <mergeCell ref="C176:D176"/>
    <mergeCell ref="C344:D344"/>
    <mergeCell ref="C324:D324"/>
    <mergeCell ref="C119:D119"/>
    <mergeCell ref="C244:D244"/>
    <mergeCell ref="C271:D271"/>
    <mergeCell ref="C349:D349"/>
    <mergeCell ref="C306:D306"/>
    <mergeCell ref="C690:D690"/>
    <mergeCell ref="C215:D215"/>
    <mergeCell ref="C221:D221"/>
    <mergeCell ref="C223:D223"/>
    <mergeCell ref="C237:D237"/>
    <mergeCell ref="C497:D497"/>
    <mergeCell ref="C351:D351"/>
    <mergeCell ref="C380:D380"/>
    <mergeCell ref="C440:D440"/>
    <mergeCell ref="C369:D369"/>
    <mergeCell ref="C410:D410"/>
    <mergeCell ref="C668:D668"/>
    <mergeCell ref="C525:D525"/>
    <mergeCell ref="C602:D602"/>
    <mergeCell ref="C517:D517"/>
    <mergeCell ref="C522:D522"/>
    <mergeCell ref="C500:D500"/>
    <mergeCell ref="C527:D527"/>
    <mergeCell ref="C545:D545"/>
    <mergeCell ref="C539:D539"/>
    <mergeCell ref="C629:D629"/>
    <mergeCell ref="C196:D196"/>
    <mergeCell ref="C269:D269"/>
    <mergeCell ref="C274:D274"/>
    <mergeCell ref="C284:D284"/>
    <mergeCell ref="C470:D470"/>
    <mergeCell ref="C437:D437"/>
    <mergeCell ref="C420:D420"/>
    <mergeCell ref="C428:D428"/>
    <mergeCell ref="C408:D408"/>
    <mergeCell ref="C433:D433"/>
    <mergeCell ref="C451:D451"/>
    <mergeCell ref="C506:D506"/>
    <mergeCell ref="C600:D600"/>
    <mergeCell ref="C532:D532"/>
    <mergeCell ref="C529:D529"/>
    <mergeCell ref="C199:D199"/>
    <mergeCell ref="C559:D559"/>
    <mergeCell ref="C479:D479"/>
    <mergeCell ref="C477:D477"/>
    <mergeCell ref="C456:D456"/>
    <mergeCell ref="C753:D753"/>
    <mergeCell ref="C724:D724"/>
    <mergeCell ref="C790:D790"/>
    <mergeCell ref="C763:D763"/>
    <mergeCell ref="C768:D768"/>
    <mergeCell ref="C361:D361"/>
    <mergeCell ref="C646:D646"/>
    <mergeCell ref="C612:D612"/>
    <mergeCell ref="C606:D606"/>
    <mergeCell ref="C418:D418"/>
    <mergeCell ref="C204:D204"/>
    <mergeCell ref="C282:D282"/>
    <mergeCell ref="C208:D208"/>
    <mergeCell ref="C665:D665"/>
    <mergeCell ref="C622:D622"/>
    <mergeCell ref="C595:D595"/>
    <mergeCell ref="C627:D627"/>
    <mergeCell ref="C593:D593"/>
    <mergeCell ref="C453:D453"/>
    <mergeCell ref="C445:D445"/>
    <mergeCell ref="C821:D821"/>
    <mergeCell ref="C804:D804"/>
    <mergeCell ref="C806:D806"/>
    <mergeCell ref="C775:D775"/>
    <mergeCell ref="C786:D786"/>
    <mergeCell ref="C798:D798"/>
    <mergeCell ref="C818:D818"/>
    <mergeCell ref="C815:D815"/>
    <mergeCell ref="C793:D793"/>
    <mergeCell ref="C795:D795"/>
    <mergeCell ref="C820:D820"/>
    <mergeCell ref="C121:D121"/>
    <mergeCell ref="C154:D154"/>
    <mergeCell ref="C730:D730"/>
    <mergeCell ref="C709:D709"/>
    <mergeCell ref="C711:D711"/>
    <mergeCell ref="C164:D164"/>
    <mergeCell ref="C773:D773"/>
    <mergeCell ref="C732:D732"/>
    <mergeCell ref="C703:D703"/>
    <mergeCell ref="C688:D688"/>
    <mergeCell ref="C751:D751"/>
    <mergeCell ref="C745:D745"/>
    <mergeCell ref="C686:D686"/>
    <mergeCell ref="C675:D675"/>
    <mergeCell ref="C211:D211"/>
    <mergeCell ref="C643:D643"/>
    <mergeCell ref="C672:D672"/>
    <mergeCell ref="C680:D680"/>
    <mergeCell ref="C259:D259"/>
    <mergeCell ref="C88:D88"/>
    <mergeCell ref="C142:D142"/>
    <mergeCell ref="A6:A8"/>
    <mergeCell ref="C801:D801"/>
    <mergeCell ref="C812:D812"/>
    <mergeCell ref="C663:D663"/>
    <mergeCell ref="C98:D98"/>
    <mergeCell ref="D6:D8"/>
    <mergeCell ref="C28:D28"/>
    <mergeCell ref="C93:D93"/>
    <mergeCell ref="J6:J8"/>
    <mergeCell ref="K6:K8"/>
    <mergeCell ref="C810:D810"/>
    <mergeCell ref="A5:G5"/>
    <mergeCell ref="C77:D77"/>
    <mergeCell ref="C52:D52"/>
    <mergeCell ref="C146:D146"/>
    <mergeCell ref="F6:F8"/>
    <mergeCell ref="G6:G8"/>
    <mergeCell ref="C36:D36"/>
  </mergeCells>
  <pageMargins left="0.78749999999999998" right="0.78749999999999998" top="0.88611111111111107" bottom="0.88611111111111107" header="0.51180555555555551" footer="0.51180555555555551"/>
  <pageSetup paperSize="9" orientation="portrait" useFirstPageNumber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"/>
  <sheetViews>
    <sheetView topLeftCell="A48" workbookViewId="0">
      <selection activeCell="B91" sqref="B91"/>
    </sheetView>
  </sheetViews>
  <sheetFormatPr defaultRowHeight="12.75" x14ac:dyDescent="0.2"/>
  <cols>
    <col min="1" max="1" width="18.28515625" customWidth="1"/>
    <col min="2" max="2" width="19.42578125" customWidth="1"/>
    <col min="4" max="5" width="11.7109375" bestFit="1" customWidth="1"/>
    <col min="6" max="6" width="10.140625" bestFit="1" customWidth="1"/>
    <col min="7" max="7" width="11.7109375" bestFit="1" customWidth="1"/>
    <col min="8" max="8" width="12.7109375" bestFit="1" customWidth="1"/>
    <col min="9" max="10" width="11.7109375" bestFit="1" customWidth="1"/>
  </cols>
  <sheetData>
    <row r="1" spans="1:2" x14ac:dyDescent="0.2">
      <c r="A1" t="s">
        <v>264</v>
      </c>
      <c r="B1" t="s">
        <v>265</v>
      </c>
    </row>
    <row r="2" spans="1:2" x14ac:dyDescent="0.2">
      <c r="A2" s="129">
        <v>3956</v>
      </c>
      <c r="B2" s="130">
        <v>126749</v>
      </c>
    </row>
    <row r="3" spans="1:2" x14ac:dyDescent="0.2">
      <c r="A3" s="130">
        <v>1537465</v>
      </c>
      <c r="B3" s="130">
        <v>1517692</v>
      </c>
    </row>
    <row r="4" spans="1:2" x14ac:dyDescent="0.2">
      <c r="A4" s="130">
        <v>28150</v>
      </c>
      <c r="B4" s="130">
        <v>5574</v>
      </c>
    </row>
    <row r="5" spans="1:2" x14ac:dyDescent="0.2">
      <c r="A5" s="130">
        <v>110000</v>
      </c>
      <c r="B5" s="130">
        <v>433319</v>
      </c>
    </row>
    <row r="6" spans="1:2" x14ac:dyDescent="0.2">
      <c r="A6" s="130">
        <v>17119</v>
      </c>
      <c r="B6" s="130">
        <v>2758153</v>
      </c>
    </row>
    <row r="7" spans="1:2" x14ac:dyDescent="0.2">
      <c r="A7" s="130">
        <v>8000</v>
      </c>
      <c r="B7" s="130">
        <v>2730619</v>
      </c>
    </row>
    <row r="8" spans="1:2" x14ac:dyDescent="0.2">
      <c r="A8" s="130">
        <v>38590</v>
      </c>
      <c r="B8" s="130">
        <v>1124527</v>
      </c>
    </row>
    <row r="9" spans="1:2" x14ac:dyDescent="0.2">
      <c r="A9" s="129">
        <v>17527</v>
      </c>
      <c r="B9" s="130">
        <v>202671</v>
      </c>
    </row>
    <row r="10" spans="1:2" x14ac:dyDescent="0.2">
      <c r="A10" s="129">
        <v>2312</v>
      </c>
      <c r="B10" s="130">
        <v>287200</v>
      </c>
    </row>
    <row r="11" spans="1:2" x14ac:dyDescent="0.2">
      <c r="A11" s="129"/>
      <c r="B11" s="130">
        <v>619421</v>
      </c>
    </row>
    <row r="12" spans="1:2" x14ac:dyDescent="0.2">
      <c r="A12" s="129"/>
      <c r="B12" s="130">
        <v>32392</v>
      </c>
    </row>
    <row r="13" spans="1:2" x14ac:dyDescent="0.2">
      <c r="A13" s="129"/>
      <c r="B13" s="130">
        <v>2275900</v>
      </c>
    </row>
    <row r="14" spans="1:2" x14ac:dyDescent="0.2">
      <c r="A14" s="129"/>
      <c r="B14" s="130">
        <v>737198</v>
      </c>
    </row>
    <row r="15" spans="1:2" x14ac:dyDescent="0.2">
      <c r="A15" s="129"/>
      <c r="B15" s="130">
        <v>4629000</v>
      </c>
    </row>
    <row r="16" spans="1:2" x14ac:dyDescent="0.2">
      <c r="A16" s="129"/>
      <c r="B16" s="130">
        <v>2525527</v>
      </c>
    </row>
    <row r="17" spans="1:10" x14ac:dyDescent="0.2">
      <c r="A17" s="129"/>
      <c r="B17" s="130">
        <v>602764</v>
      </c>
    </row>
    <row r="18" spans="1:10" x14ac:dyDescent="0.2">
      <c r="A18" s="129"/>
      <c r="B18" s="130">
        <v>661094</v>
      </c>
    </row>
    <row r="19" spans="1:10" x14ac:dyDescent="0.2">
      <c r="A19" s="129"/>
      <c r="B19" s="130">
        <v>807893</v>
      </c>
      <c r="D19" s="129"/>
      <c r="E19" s="129"/>
      <c r="F19" s="129"/>
      <c r="G19" s="129"/>
      <c r="H19" s="129"/>
      <c r="I19" s="129"/>
      <c r="J19" s="129"/>
    </row>
    <row r="20" spans="1:10" x14ac:dyDescent="0.2">
      <c r="A20" s="129"/>
      <c r="B20" s="130">
        <v>97126</v>
      </c>
    </row>
    <row r="21" spans="1:10" x14ac:dyDescent="0.2">
      <c r="A21" s="129"/>
      <c r="B21" s="130">
        <v>32852</v>
      </c>
    </row>
    <row r="22" spans="1:10" x14ac:dyDescent="0.2">
      <c r="A22" s="129"/>
      <c r="B22" s="130">
        <v>302400</v>
      </c>
    </row>
    <row r="23" spans="1:10" x14ac:dyDescent="0.2">
      <c r="A23" s="129"/>
      <c r="B23" s="130">
        <v>1667909</v>
      </c>
    </row>
    <row r="24" spans="1:10" x14ac:dyDescent="0.2">
      <c r="A24" s="129"/>
      <c r="B24" s="130">
        <v>1857000</v>
      </c>
    </row>
    <row r="25" spans="1:10" x14ac:dyDescent="0.2">
      <c r="A25" s="129"/>
      <c r="B25" s="130">
        <v>138738</v>
      </c>
    </row>
    <row r="26" spans="1:10" x14ac:dyDescent="0.2">
      <c r="A26" s="129"/>
      <c r="B26" s="130">
        <v>1178857</v>
      </c>
    </row>
    <row r="27" spans="1:10" x14ac:dyDescent="0.2">
      <c r="A27" s="129"/>
      <c r="B27" s="130">
        <v>2347973</v>
      </c>
    </row>
    <row r="28" spans="1:10" x14ac:dyDescent="0.2">
      <c r="A28" s="129"/>
      <c r="B28" s="130">
        <v>230445</v>
      </c>
    </row>
    <row r="29" spans="1:10" x14ac:dyDescent="0.2">
      <c r="A29" s="129"/>
      <c r="B29" s="130">
        <v>683155</v>
      </c>
    </row>
    <row r="30" spans="1:10" x14ac:dyDescent="0.2">
      <c r="A30" s="129"/>
      <c r="B30" s="130">
        <v>853629</v>
      </c>
    </row>
    <row r="31" spans="1:10" x14ac:dyDescent="0.2">
      <c r="A31" s="129"/>
      <c r="B31" s="130">
        <v>16900</v>
      </c>
    </row>
    <row r="32" spans="1:10" x14ac:dyDescent="0.2">
      <c r="A32" s="129"/>
      <c r="B32" s="130">
        <v>795876</v>
      </c>
    </row>
    <row r="33" spans="1:2" x14ac:dyDescent="0.2">
      <c r="A33" s="129"/>
      <c r="B33" s="130">
        <v>3426652</v>
      </c>
    </row>
    <row r="34" spans="1:2" x14ac:dyDescent="0.2">
      <c r="A34" s="129"/>
      <c r="B34" s="130">
        <v>2350464</v>
      </c>
    </row>
    <row r="35" spans="1:2" x14ac:dyDescent="0.2">
      <c r="A35" s="129"/>
      <c r="B35" s="130">
        <v>15415</v>
      </c>
    </row>
    <row r="36" spans="1:2" x14ac:dyDescent="0.2">
      <c r="A36" s="129"/>
      <c r="B36" s="130">
        <v>474179</v>
      </c>
    </row>
    <row r="37" spans="1:2" x14ac:dyDescent="0.2">
      <c r="A37" s="129">
        <v>7200</v>
      </c>
      <c r="B37" s="131">
        <v>7200</v>
      </c>
    </row>
    <row r="38" spans="1:2" x14ac:dyDescent="0.2">
      <c r="A38" s="129"/>
      <c r="B38" s="131">
        <v>5000</v>
      </c>
    </row>
    <row r="39" spans="1:2" x14ac:dyDescent="0.2">
      <c r="A39" s="129"/>
      <c r="B39" s="131">
        <v>43000</v>
      </c>
    </row>
    <row r="40" spans="1:2" x14ac:dyDescent="0.2">
      <c r="A40" s="129">
        <v>221100</v>
      </c>
      <c r="B40" s="131">
        <v>221100</v>
      </c>
    </row>
    <row r="41" spans="1:2" x14ac:dyDescent="0.2">
      <c r="A41" s="129"/>
      <c r="B41" s="131">
        <v>5772797</v>
      </c>
    </row>
    <row r="42" spans="1:2" x14ac:dyDescent="0.2">
      <c r="A42" s="129"/>
      <c r="B42" s="131">
        <v>22335</v>
      </c>
    </row>
    <row r="43" spans="1:2" x14ac:dyDescent="0.2">
      <c r="A43" s="129">
        <v>1682628</v>
      </c>
      <c r="B43" s="131">
        <v>907336</v>
      </c>
    </row>
    <row r="44" spans="1:2" x14ac:dyDescent="0.2">
      <c r="A44" s="129"/>
      <c r="B44" s="131">
        <v>9000</v>
      </c>
    </row>
    <row r="45" spans="1:2" x14ac:dyDescent="0.2">
      <c r="A45" s="129"/>
      <c r="B45" s="131">
        <v>11000</v>
      </c>
    </row>
    <row r="46" spans="1:2" x14ac:dyDescent="0.2">
      <c r="A46" s="129"/>
      <c r="B46" s="131">
        <v>70000</v>
      </c>
    </row>
    <row r="47" spans="1:2" x14ac:dyDescent="0.2">
      <c r="A47" s="129"/>
      <c r="B47" s="131">
        <v>51000</v>
      </c>
    </row>
    <row r="48" spans="1:2" x14ac:dyDescent="0.2">
      <c r="A48" s="129"/>
      <c r="B48" s="131">
        <v>2100</v>
      </c>
    </row>
    <row r="49" spans="1:2" x14ac:dyDescent="0.2">
      <c r="A49" s="129"/>
      <c r="B49" s="131">
        <v>24000</v>
      </c>
    </row>
    <row r="50" spans="1:2" x14ac:dyDescent="0.2">
      <c r="A50" s="129"/>
      <c r="B50" s="131">
        <v>91000</v>
      </c>
    </row>
    <row r="51" spans="1:2" x14ac:dyDescent="0.2">
      <c r="A51" s="129"/>
      <c r="B51" s="131">
        <v>52923</v>
      </c>
    </row>
    <row r="52" spans="1:2" x14ac:dyDescent="0.2">
      <c r="A52" s="129">
        <v>16000</v>
      </c>
      <c r="B52" s="131">
        <v>25178</v>
      </c>
    </row>
    <row r="53" spans="1:2" x14ac:dyDescent="0.2">
      <c r="A53" s="129">
        <v>350000</v>
      </c>
      <c r="B53" s="131">
        <v>148245</v>
      </c>
    </row>
    <row r="54" spans="1:2" x14ac:dyDescent="0.2">
      <c r="A54" s="129"/>
      <c r="B54" s="131">
        <v>162572</v>
      </c>
    </row>
    <row r="55" spans="1:2" x14ac:dyDescent="0.2">
      <c r="A55" s="129"/>
      <c r="B55" s="131">
        <v>246000</v>
      </c>
    </row>
    <row r="56" spans="1:2" x14ac:dyDescent="0.2">
      <c r="A56" s="129">
        <v>143759</v>
      </c>
      <c r="B56" s="131">
        <v>4582517</v>
      </c>
    </row>
    <row r="57" spans="1:2" x14ac:dyDescent="0.2">
      <c r="A57" s="129"/>
      <c r="B57" s="131">
        <v>13476</v>
      </c>
    </row>
    <row r="58" spans="1:2" x14ac:dyDescent="0.2">
      <c r="A58" s="129"/>
      <c r="B58" s="129">
        <v>20000</v>
      </c>
    </row>
    <row r="59" spans="1:2" x14ac:dyDescent="0.2">
      <c r="A59" s="129"/>
      <c r="B59" s="129">
        <v>5500</v>
      </c>
    </row>
    <row r="60" spans="1:2" x14ac:dyDescent="0.2">
      <c r="A60" s="129"/>
      <c r="B60" s="129">
        <v>1040300</v>
      </c>
    </row>
    <row r="61" spans="1:2" x14ac:dyDescent="0.2">
      <c r="A61" s="129"/>
      <c r="B61" s="129">
        <v>883951</v>
      </c>
    </row>
    <row r="62" spans="1:2" x14ac:dyDescent="0.2">
      <c r="A62" s="129"/>
      <c r="B62" s="129">
        <v>211040</v>
      </c>
    </row>
    <row r="63" spans="1:2" x14ac:dyDescent="0.2">
      <c r="A63" s="129"/>
      <c r="B63" s="129">
        <v>1153683</v>
      </c>
    </row>
    <row r="64" spans="1:2" x14ac:dyDescent="0.2">
      <c r="A64" s="129"/>
      <c r="B64" s="129">
        <v>144975</v>
      </c>
    </row>
    <row r="65" spans="1:2" x14ac:dyDescent="0.2">
      <c r="A65" s="129"/>
      <c r="B65" s="129">
        <v>561971</v>
      </c>
    </row>
    <row r="66" spans="1:2" x14ac:dyDescent="0.2">
      <c r="A66" s="129"/>
      <c r="B66" s="129">
        <v>2922957</v>
      </c>
    </row>
    <row r="67" spans="1:2" x14ac:dyDescent="0.2">
      <c r="A67" s="129"/>
      <c r="B67" s="129">
        <v>659500</v>
      </c>
    </row>
    <row r="68" spans="1:2" x14ac:dyDescent="0.2">
      <c r="A68" s="129"/>
      <c r="B68" s="129">
        <v>4300</v>
      </c>
    </row>
    <row r="69" spans="1:2" x14ac:dyDescent="0.2">
      <c r="A69" s="129"/>
      <c r="B69" s="129">
        <v>2500</v>
      </c>
    </row>
    <row r="70" spans="1:2" x14ac:dyDescent="0.2">
      <c r="A70" s="129"/>
      <c r="B70" s="129">
        <v>7000</v>
      </c>
    </row>
    <row r="71" spans="1:2" x14ac:dyDescent="0.2">
      <c r="A71" s="129"/>
      <c r="B71" s="129">
        <v>228204</v>
      </c>
    </row>
    <row r="72" spans="1:2" x14ac:dyDescent="0.2">
      <c r="A72" s="129"/>
      <c r="B72" s="129">
        <v>200000</v>
      </c>
    </row>
    <row r="73" spans="1:2" x14ac:dyDescent="0.2">
      <c r="A73" s="129"/>
      <c r="B73" s="129">
        <v>100000</v>
      </c>
    </row>
    <row r="74" spans="1:2" x14ac:dyDescent="0.2">
      <c r="A74" s="129"/>
      <c r="B74" s="129">
        <v>23000</v>
      </c>
    </row>
    <row r="75" spans="1:2" x14ac:dyDescent="0.2">
      <c r="A75" s="129"/>
      <c r="B75" s="129">
        <v>52000</v>
      </c>
    </row>
    <row r="76" spans="1:2" x14ac:dyDescent="0.2">
      <c r="A76" s="129"/>
      <c r="B76" s="129">
        <v>7200</v>
      </c>
    </row>
    <row r="77" spans="1:2" x14ac:dyDescent="0.2">
      <c r="A77" s="129"/>
      <c r="B77" s="129">
        <v>159456</v>
      </c>
    </row>
    <row r="78" spans="1:2" x14ac:dyDescent="0.2">
      <c r="A78" s="129"/>
      <c r="B78" s="129">
        <v>135000</v>
      </c>
    </row>
    <row r="79" spans="1:2" x14ac:dyDescent="0.2">
      <c r="A79" s="129"/>
      <c r="B79" s="129">
        <v>39456</v>
      </c>
    </row>
    <row r="80" spans="1:2" x14ac:dyDescent="0.2">
      <c r="A80" s="129"/>
      <c r="B80" s="129">
        <v>144900</v>
      </c>
    </row>
    <row r="81" spans="1:2" x14ac:dyDescent="0.2">
      <c r="A81" s="129"/>
      <c r="B81" s="129">
        <v>11000</v>
      </c>
    </row>
    <row r="82" spans="1:2" x14ac:dyDescent="0.2">
      <c r="A82" s="129"/>
      <c r="B82" s="129">
        <v>13084</v>
      </c>
    </row>
    <row r="83" spans="1:2" x14ac:dyDescent="0.2">
      <c r="A83" s="129"/>
      <c r="B83" s="129">
        <v>51990</v>
      </c>
    </row>
    <row r="84" spans="1:2" x14ac:dyDescent="0.2">
      <c r="A84" s="129"/>
      <c r="B84" s="129">
        <v>685319</v>
      </c>
    </row>
    <row r="85" spans="1:2" ht="12" customHeight="1" x14ac:dyDescent="0.2">
      <c r="A85" s="129"/>
      <c r="B85" s="129">
        <v>6800</v>
      </c>
    </row>
    <row r="86" spans="1:2" ht="12" customHeight="1" x14ac:dyDescent="0.2">
      <c r="A86" s="129"/>
      <c r="B86" s="129">
        <v>3202245</v>
      </c>
    </row>
    <row r="87" spans="1:2" x14ac:dyDescent="0.2">
      <c r="A87" s="129"/>
      <c r="B87" s="129">
        <v>16488</v>
      </c>
    </row>
    <row r="88" spans="1:2" x14ac:dyDescent="0.2">
      <c r="A88" s="129">
        <v>96000</v>
      </c>
      <c r="B88" s="129">
        <v>15753</v>
      </c>
    </row>
    <row r="89" spans="1:2" x14ac:dyDescent="0.2">
      <c r="A89" s="129">
        <v>158</v>
      </c>
      <c r="B89" s="129">
        <v>371479</v>
      </c>
    </row>
    <row r="90" spans="1:2" x14ac:dyDescent="0.2">
      <c r="A90" s="129"/>
      <c r="B90" s="129">
        <v>217874</v>
      </c>
    </row>
    <row r="91" spans="1:2" x14ac:dyDescent="0.2">
      <c r="A91" s="129">
        <f>SUM(A2:A89)</f>
        <v>4279964</v>
      </c>
      <c r="B91" s="129">
        <f>SUM(B2:B90)</f>
        <v>64313967</v>
      </c>
    </row>
    <row r="92" spans="1:2" x14ac:dyDescent="0.2">
      <c r="A92" s="129"/>
      <c r="B92" s="129"/>
    </row>
    <row r="93" spans="1:2" x14ac:dyDescent="0.2">
      <c r="A93" s="129"/>
      <c r="B93" s="129"/>
    </row>
    <row r="94" spans="1:2" x14ac:dyDescent="0.2">
      <c r="A94" s="129"/>
      <c r="B94" s="129"/>
    </row>
    <row r="95" spans="1:2" x14ac:dyDescent="0.2">
      <c r="A95" s="129"/>
      <c r="B95" s="129"/>
    </row>
    <row r="96" spans="1:2" x14ac:dyDescent="0.2">
      <c r="A96" s="129"/>
      <c r="B96" s="129"/>
    </row>
    <row r="97" spans="1:2" x14ac:dyDescent="0.2">
      <c r="A97" s="129"/>
      <c r="B97" s="129"/>
    </row>
    <row r="98" spans="1:2" x14ac:dyDescent="0.2">
      <c r="A98" s="129"/>
      <c r="B98" s="129"/>
    </row>
    <row r="99" spans="1:2" x14ac:dyDescent="0.2">
      <c r="A99" s="129"/>
      <c r="B99" s="129"/>
    </row>
    <row r="100" spans="1:2" x14ac:dyDescent="0.2">
      <c r="A100" s="129"/>
      <c r="B100" s="129"/>
    </row>
    <row r="101" spans="1:2" x14ac:dyDescent="0.2">
      <c r="A101" s="129"/>
      <c r="B101" s="129"/>
    </row>
    <row r="102" spans="1:2" x14ac:dyDescent="0.2">
      <c r="A102" s="129"/>
      <c r="B102" s="129"/>
    </row>
    <row r="103" spans="1:2" x14ac:dyDescent="0.2">
      <c r="A103" s="129"/>
      <c r="B103" s="129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1</vt:i4>
      </vt:variant>
    </vt:vector>
  </HeadingPairs>
  <TitlesOfParts>
    <vt:vector size="6" baseType="lpstr">
      <vt:lpstr>dochody</vt:lpstr>
      <vt:lpstr>Arkusz2</vt:lpstr>
      <vt:lpstr>wydatki</vt:lpstr>
      <vt:lpstr>Arkusz1</vt:lpstr>
      <vt:lpstr>Arkusz3</vt:lpstr>
      <vt:lpstr>dochody!Obszar_wydruku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Bruzik</dc:creator>
  <cp:lastModifiedBy>Krzysztof</cp:lastModifiedBy>
  <cp:lastPrinted>2015-04-14T06:22:23Z</cp:lastPrinted>
  <dcterms:created xsi:type="dcterms:W3CDTF">2012-01-24T11:59:14Z</dcterms:created>
  <dcterms:modified xsi:type="dcterms:W3CDTF">2016-02-16T11:08:07Z</dcterms:modified>
</cp:coreProperties>
</file>